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社工所\8活動導師\8_1社工所導師課\111學年\"/>
    </mc:Choice>
  </mc:AlternateContent>
  <bookViews>
    <workbookView xWindow="0" yWindow="0" windowWidth="25600" windowHeight="10590"/>
  </bookViews>
  <sheets>
    <sheet name="111-2導師Office Hours調查表" sheetId="1" r:id="rId1"/>
  </sheets>
  <definedNames>
    <definedName name="_xlnm._FilterDatabase" localSheetId="0" hidden="1">'111-2導師Office Hours調查表'!$A$2:$G$604</definedName>
  </definedNames>
  <calcPr calcId="162913"/>
</workbook>
</file>

<file path=xl/calcChain.xml><?xml version="1.0" encoding="utf-8"?>
<calcChain xmlns="http://schemas.openxmlformats.org/spreadsheetml/2006/main">
  <c r="B94" i="1" l="1"/>
  <c r="A94" i="1"/>
  <c r="B93" i="1"/>
  <c r="A93" i="1"/>
  <c r="A95" i="1"/>
  <c r="B95" i="1"/>
  <c r="A340" i="1" l="1"/>
  <c r="A298" i="1"/>
  <c r="A296" i="1" l="1"/>
  <c r="A297" i="1"/>
  <c r="B230" i="1"/>
  <c r="B97" i="1" l="1"/>
  <c r="B18" i="1" l="1"/>
  <c r="A17" i="1"/>
  <c r="B17" i="1"/>
  <c r="A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6" i="1"/>
  <c r="B96" i="1"/>
  <c r="A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</calcChain>
</file>

<file path=xl/sharedStrings.xml><?xml version="1.0" encoding="utf-8"?>
<sst xmlns="http://schemas.openxmlformats.org/spreadsheetml/2006/main" count="312" uniqueCount="255">
  <si>
    <t>開放時段</t>
    <phoneticPr fontId="18" type="noConversion"/>
  </si>
  <si>
    <t>晤談地點</t>
    <phoneticPr fontId="18" type="noConversion"/>
  </si>
  <si>
    <t>1、2</t>
    <phoneticPr fontId="18" type="noConversion"/>
  </si>
  <si>
    <t>二C-D</t>
    <phoneticPr fontId="18" type="noConversion"/>
  </si>
  <si>
    <t>407室</t>
    <phoneticPr fontId="18" type="noConversion"/>
  </si>
  <si>
    <t>二D-6</t>
    <phoneticPr fontId="18" type="noConversion"/>
  </si>
  <si>
    <t>井塘4樓華文測驗室</t>
    <phoneticPr fontId="18" type="noConversion"/>
  </si>
  <si>
    <t>二2-4</t>
    <phoneticPr fontId="18" type="noConversion"/>
  </si>
  <si>
    <t>405室</t>
    <phoneticPr fontId="18" type="noConversion"/>
  </si>
  <si>
    <t>需先預約</t>
    <phoneticPr fontId="18" type="noConversion"/>
  </si>
  <si>
    <t>一3-6、五3-6</t>
    <phoneticPr fontId="18" type="noConversion"/>
  </si>
  <si>
    <t>研究621室</t>
    <phoneticPr fontId="18" type="noConversion"/>
  </si>
  <si>
    <t>一2-4</t>
    <phoneticPr fontId="18" type="noConversion"/>
  </si>
  <si>
    <t>401室</t>
    <phoneticPr fontId="18" type="noConversion"/>
  </si>
  <si>
    <t>需先預約</t>
    <phoneticPr fontId="18" type="noConversion"/>
  </si>
  <si>
    <t>一3-6、三3-C</t>
    <phoneticPr fontId="18" type="noConversion"/>
  </si>
  <si>
    <t>幼教所所長室</t>
    <phoneticPr fontId="18" type="noConversion"/>
  </si>
  <si>
    <t>三D-7</t>
    <phoneticPr fontId="18" type="noConversion"/>
  </si>
  <si>
    <t>無</t>
    <phoneticPr fontId="18" type="noConversion"/>
  </si>
  <si>
    <t>二2-3</t>
    <phoneticPr fontId="18" type="noConversion"/>
  </si>
  <si>
    <t>季陶220室</t>
    <phoneticPr fontId="18" type="noConversion"/>
  </si>
  <si>
    <t>季陶後棟教授休息室</t>
    <phoneticPr fontId="18" type="noConversion"/>
  </si>
  <si>
    <t>請先email聯絡</t>
    <phoneticPr fontId="18" type="noConversion"/>
  </si>
  <si>
    <t>二7-8</t>
    <phoneticPr fontId="18" type="noConversion"/>
  </si>
  <si>
    <t>季陶414室</t>
    <phoneticPr fontId="18" type="noConversion"/>
  </si>
  <si>
    <t>請先電郵預約/視訊晤談</t>
    <phoneticPr fontId="18" type="noConversion"/>
  </si>
  <si>
    <t>四7-8</t>
    <phoneticPr fontId="18" type="noConversion"/>
  </si>
  <si>
    <t>季陶531室</t>
    <phoneticPr fontId="18" type="noConversion"/>
  </si>
  <si>
    <t>三D-6</t>
    <phoneticPr fontId="18" type="noConversion"/>
  </si>
  <si>
    <t>季陶223室</t>
    <phoneticPr fontId="18" type="noConversion"/>
  </si>
  <si>
    <t>二D-5</t>
    <phoneticPr fontId="18" type="noConversion"/>
  </si>
  <si>
    <t>研究744室</t>
    <phoneticPr fontId="18" type="noConversion"/>
  </si>
  <si>
    <t>三D-5</t>
    <phoneticPr fontId="18" type="noConversion"/>
  </si>
  <si>
    <t>研究912室</t>
    <phoneticPr fontId="18" type="noConversion"/>
  </si>
  <si>
    <t>四5-6</t>
    <phoneticPr fontId="18" type="noConversion"/>
  </si>
  <si>
    <t>百年309室</t>
    <phoneticPr fontId="18" type="noConversion"/>
  </si>
  <si>
    <t>二8</t>
    <phoneticPr fontId="18" type="noConversion"/>
  </si>
  <si>
    <t>研究903室</t>
    <phoneticPr fontId="18" type="noConversion"/>
  </si>
  <si>
    <t>二2-4</t>
    <phoneticPr fontId="18" type="noConversion"/>
  </si>
  <si>
    <t>請先email預約</t>
    <phoneticPr fontId="18" type="noConversion"/>
  </si>
  <si>
    <t>一3-4、三5-8、五5-7</t>
    <phoneticPr fontId="18" type="noConversion"/>
  </si>
  <si>
    <t>研究621室</t>
    <phoneticPr fontId="18" type="noConversion"/>
  </si>
  <si>
    <t>井塘401室</t>
    <phoneticPr fontId="18" type="noConversion"/>
  </si>
  <si>
    <t>請先email預約robin@nccu.edu.tw</t>
    <phoneticPr fontId="18" type="noConversion"/>
  </si>
  <si>
    <t>一3-4</t>
    <phoneticPr fontId="18" type="noConversion"/>
  </si>
  <si>
    <t>研究630室</t>
    <phoneticPr fontId="18" type="noConversion"/>
  </si>
  <si>
    <t>二D-6</t>
    <phoneticPr fontId="18" type="noConversion"/>
  </si>
  <si>
    <t>一2-3</t>
    <phoneticPr fontId="18" type="noConversion"/>
  </si>
  <si>
    <t>綜院904室</t>
    <phoneticPr fontId="18" type="noConversion"/>
  </si>
  <si>
    <t>一3-4</t>
    <phoneticPr fontId="18" type="noConversion"/>
  </si>
  <si>
    <t>綜院1103室</t>
    <phoneticPr fontId="18" type="noConversion"/>
  </si>
  <si>
    <t>綜院1002室</t>
    <phoneticPr fontId="18" type="noConversion"/>
  </si>
  <si>
    <t>二D-5</t>
    <phoneticPr fontId="18" type="noConversion"/>
  </si>
  <si>
    <t>綜院921室</t>
    <phoneticPr fontId="18" type="noConversion"/>
  </si>
  <si>
    <t>五7-8</t>
    <phoneticPr fontId="18" type="noConversion"/>
  </si>
  <si>
    <t>二5-6</t>
    <phoneticPr fontId="18" type="noConversion"/>
  </si>
  <si>
    <t>三D</t>
    <phoneticPr fontId="18" type="noConversion"/>
  </si>
  <si>
    <t>三D</t>
    <phoneticPr fontId="18" type="noConversion"/>
  </si>
  <si>
    <t>可預約</t>
    <phoneticPr fontId="18" type="noConversion"/>
  </si>
  <si>
    <t>五6-7</t>
    <phoneticPr fontId="18" type="noConversion"/>
  </si>
  <si>
    <t>二7-8</t>
    <phoneticPr fontId="18" type="noConversion"/>
  </si>
  <si>
    <t>四5</t>
    <phoneticPr fontId="18" type="noConversion"/>
  </si>
  <si>
    <t>三D-5</t>
    <phoneticPr fontId="18" type="noConversion"/>
  </si>
  <si>
    <t>三D</t>
    <phoneticPr fontId="18" type="noConversion"/>
  </si>
  <si>
    <t>二D</t>
    <phoneticPr fontId="18" type="noConversion"/>
  </si>
  <si>
    <t>二3-4</t>
    <phoneticPr fontId="18" type="noConversion"/>
  </si>
  <si>
    <t>三D</t>
    <phoneticPr fontId="18" type="noConversion"/>
  </si>
  <si>
    <t>四7</t>
    <phoneticPr fontId="18" type="noConversion"/>
  </si>
  <si>
    <t>請先email預約 sung6306@nccu.edu.tw</t>
    <phoneticPr fontId="18" type="noConversion"/>
  </si>
  <si>
    <t>請先email預約 hlee@nccu.edu.tw，googlemeet線上對話，郵件標題以[導師OfficeHour]起頭</t>
    <phoneticPr fontId="18" type="noConversion"/>
  </si>
  <si>
    <t>三7-8</t>
    <phoneticPr fontId="18" type="noConversion"/>
  </si>
  <si>
    <t>二2-4</t>
    <phoneticPr fontId="18" type="noConversion"/>
  </si>
  <si>
    <t>1、3</t>
    <phoneticPr fontId="18" type="noConversion"/>
  </si>
  <si>
    <t>先約即可</t>
    <phoneticPr fontId="18" type="noConversion"/>
  </si>
  <si>
    <t>三5-7</t>
    <phoneticPr fontId="18" type="noConversion"/>
  </si>
  <si>
    <t>綜院1142室</t>
    <phoneticPr fontId="18" type="noConversion"/>
  </si>
  <si>
    <t>預約制</t>
    <phoneticPr fontId="18" type="noConversion"/>
  </si>
  <si>
    <t>一CD</t>
    <phoneticPr fontId="18" type="noConversion"/>
  </si>
  <si>
    <t>綜院808室</t>
    <phoneticPr fontId="18" type="noConversion"/>
  </si>
  <si>
    <t>需先E-mail預約</t>
    <phoneticPr fontId="18" type="noConversion"/>
  </si>
  <si>
    <t>三D</t>
    <phoneticPr fontId="18" type="noConversion"/>
  </si>
  <si>
    <t>綜院701室</t>
    <phoneticPr fontId="18" type="noConversion"/>
  </si>
  <si>
    <t>四5-7</t>
    <phoneticPr fontId="18" type="noConversion"/>
  </si>
  <si>
    <t>綜院1555室</t>
    <phoneticPr fontId="18" type="noConversion"/>
  </si>
  <si>
    <t>三C</t>
    <phoneticPr fontId="18" type="noConversion"/>
  </si>
  <si>
    <t>商院1015室</t>
    <phoneticPr fontId="18" type="noConversion"/>
  </si>
  <si>
    <t>四C、五C</t>
    <phoneticPr fontId="18" type="noConversion"/>
  </si>
  <si>
    <t>商院1035室</t>
    <phoneticPr fontId="18" type="noConversion"/>
  </si>
  <si>
    <t>By appointment</t>
    <phoneticPr fontId="18" type="noConversion"/>
  </si>
  <si>
    <t>本系或修課學生</t>
    <phoneticPr fontId="18" type="noConversion"/>
  </si>
  <si>
    <t>二C-D</t>
    <phoneticPr fontId="18" type="noConversion"/>
  </si>
  <si>
    <t>商院1140室</t>
    <phoneticPr fontId="18" type="noConversion"/>
  </si>
  <si>
    <t>一5-6</t>
    <phoneticPr fontId="18" type="noConversion"/>
  </si>
  <si>
    <t>商院1238室</t>
    <phoneticPr fontId="18" type="noConversion"/>
  </si>
  <si>
    <t>四3-4</t>
    <phoneticPr fontId="18" type="noConversion"/>
  </si>
  <si>
    <t>商院10樓教授休息室</t>
    <phoneticPr fontId="18" type="noConversion"/>
  </si>
  <si>
    <t>一D-5</t>
    <phoneticPr fontId="18" type="noConversion"/>
  </si>
  <si>
    <t>商院1237室</t>
    <phoneticPr fontId="18" type="noConversion"/>
  </si>
  <si>
    <t>商院1252室</t>
    <phoneticPr fontId="18" type="noConversion"/>
  </si>
  <si>
    <t>一1-2</t>
    <phoneticPr fontId="18" type="noConversion"/>
  </si>
  <si>
    <t>商院1204室</t>
    <phoneticPr fontId="18" type="noConversion"/>
  </si>
  <si>
    <t>三3-4</t>
    <phoneticPr fontId="18" type="noConversion"/>
  </si>
  <si>
    <t>商院1204室</t>
    <phoneticPr fontId="18" type="noConversion"/>
  </si>
  <si>
    <t>商院903室</t>
    <phoneticPr fontId="18" type="noConversion"/>
  </si>
  <si>
    <t>張育瑋</t>
    <phoneticPr fontId="18" type="noConversion"/>
  </si>
  <si>
    <t>一7、二C</t>
    <phoneticPr fontId="18" type="noConversion"/>
  </si>
  <si>
    <t xml:space="preserve">研究520室 </t>
    <phoneticPr fontId="18" type="noConversion"/>
  </si>
  <si>
    <t>鄭宇庭</t>
    <phoneticPr fontId="18" type="noConversion"/>
  </si>
  <si>
    <t>二C</t>
    <phoneticPr fontId="18" type="noConversion"/>
  </si>
  <si>
    <t>商院1255室</t>
    <phoneticPr fontId="18" type="noConversion"/>
  </si>
  <si>
    <t>余清祥</t>
    <phoneticPr fontId="18" type="noConversion"/>
  </si>
  <si>
    <t>商院1026室</t>
    <phoneticPr fontId="18" type="noConversion"/>
  </si>
  <si>
    <t>與老師預約</t>
    <phoneticPr fontId="18" type="noConversion"/>
  </si>
  <si>
    <t>需先E-mail預約</t>
    <phoneticPr fontId="18" type="noConversion"/>
  </si>
  <si>
    <t>一C</t>
    <phoneticPr fontId="18" type="noConversion"/>
  </si>
  <si>
    <t>商院521室</t>
    <phoneticPr fontId="18" type="noConversion"/>
  </si>
  <si>
    <t>本系學生</t>
    <phoneticPr fontId="18" type="noConversion"/>
  </si>
  <si>
    <t>周冠男</t>
    <phoneticPr fontId="18" type="noConversion"/>
  </si>
  <si>
    <t>五6-7</t>
    <phoneticPr fontId="18" type="noConversion"/>
  </si>
  <si>
    <t>主任室</t>
    <phoneticPr fontId="18" type="noConversion"/>
  </si>
  <si>
    <t>E-mail預約，本系學生</t>
    <phoneticPr fontId="18" type="noConversion"/>
  </si>
  <si>
    <t>E-mail預約，本系學生</t>
    <phoneticPr fontId="18" type="noConversion"/>
  </si>
  <si>
    <t>E-mail預約</t>
  </si>
  <si>
    <t>二7-8、四7-8</t>
    <phoneticPr fontId="18" type="noConversion"/>
  </si>
  <si>
    <t>數位藝術中心</t>
    <phoneticPr fontId="18" type="noConversion"/>
  </si>
  <si>
    <t>二5-6</t>
    <phoneticPr fontId="18" type="noConversion"/>
  </si>
  <si>
    <t>研究813室</t>
    <phoneticPr fontId="18" type="noConversion"/>
  </si>
  <si>
    <t>請先E-mail預約</t>
    <phoneticPr fontId="18" type="noConversion"/>
  </si>
  <si>
    <t>一2-4</t>
    <phoneticPr fontId="18" type="noConversion"/>
  </si>
  <si>
    <t>新聞館二樓研究室</t>
    <phoneticPr fontId="18" type="noConversion"/>
  </si>
  <si>
    <t>一3-D</t>
    <phoneticPr fontId="18" type="noConversion"/>
  </si>
  <si>
    <t>研究504室</t>
    <phoneticPr fontId="18" type="noConversion"/>
  </si>
  <si>
    <t>二C-8</t>
    <phoneticPr fontId="18" type="noConversion"/>
  </si>
  <si>
    <t>季陶333室</t>
    <phoneticPr fontId="18" type="noConversion"/>
  </si>
  <si>
    <t>二5-7</t>
    <phoneticPr fontId="18" type="noConversion"/>
  </si>
  <si>
    <t>研究919室</t>
    <phoneticPr fontId="18" type="noConversion"/>
  </si>
  <si>
    <t>二D-5、四D-5</t>
    <phoneticPr fontId="18" type="noConversion"/>
  </si>
  <si>
    <t>研究905室</t>
    <phoneticPr fontId="18" type="noConversion"/>
  </si>
  <si>
    <t>一2-6</t>
    <phoneticPr fontId="18" type="noConversion"/>
  </si>
  <si>
    <t>季陶330室</t>
    <phoneticPr fontId="18" type="noConversion"/>
  </si>
  <si>
    <t>本系，請先E-mail預約</t>
    <phoneticPr fontId="18" type="noConversion"/>
  </si>
  <si>
    <t>二D-5</t>
    <phoneticPr fontId="18" type="noConversion"/>
  </si>
  <si>
    <t>研究528室</t>
    <phoneticPr fontId="18" type="noConversion"/>
  </si>
  <si>
    <t>研究828室</t>
    <phoneticPr fontId="18" type="noConversion"/>
  </si>
  <si>
    <t>蘇怡文</t>
    <phoneticPr fontId="18" type="noConversion"/>
  </si>
  <si>
    <t>一2-4</t>
    <phoneticPr fontId="18" type="noConversion"/>
  </si>
  <si>
    <t>道藩主任室</t>
    <phoneticPr fontId="18" type="noConversion"/>
  </si>
  <si>
    <t>四5-6</t>
    <phoneticPr fontId="18" type="noConversion"/>
  </si>
  <si>
    <t>研究732室</t>
    <phoneticPr fontId="18" type="noConversion"/>
  </si>
  <si>
    <t>四D-5</t>
    <phoneticPr fontId="18" type="noConversion"/>
  </si>
  <si>
    <t>研究605室</t>
    <phoneticPr fontId="18" type="noConversion"/>
  </si>
  <si>
    <t>一3-4</t>
    <phoneticPr fontId="18" type="noConversion"/>
  </si>
  <si>
    <t>研究803室</t>
    <phoneticPr fontId="18" type="noConversion"/>
  </si>
  <si>
    <t>五5-6</t>
    <phoneticPr fontId="18" type="noConversion"/>
  </si>
  <si>
    <t>道藩308室</t>
    <phoneticPr fontId="18" type="noConversion"/>
  </si>
  <si>
    <t>二5-6</t>
    <phoneticPr fontId="18" type="noConversion"/>
  </si>
  <si>
    <t>三5-8</t>
    <phoneticPr fontId="18" type="noConversion"/>
  </si>
  <si>
    <t>季陶樓研究室</t>
    <phoneticPr fontId="18" type="noConversion"/>
  </si>
  <si>
    <t>一3-4</t>
    <phoneticPr fontId="18" type="noConversion"/>
  </si>
  <si>
    <t>研究723室</t>
    <phoneticPr fontId="18" type="noConversion"/>
  </si>
  <si>
    <t>二3-5</t>
    <phoneticPr fontId="18" type="noConversion"/>
  </si>
  <si>
    <t>季陶327室</t>
    <phoneticPr fontId="18" type="noConversion"/>
  </si>
  <si>
    <t>一3-7、二7-8、四7-8</t>
    <phoneticPr fontId="18" type="noConversion"/>
  </si>
  <si>
    <t>研究918室</t>
    <phoneticPr fontId="18" type="noConversion"/>
  </si>
  <si>
    <t>二7-8</t>
    <phoneticPr fontId="18" type="noConversion"/>
  </si>
  <si>
    <t>研究735室</t>
    <phoneticPr fontId="18" type="noConversion"/>
  </si>
  <si>
    <t>本系</t>
    <phoneticPr fontId="18" type="noConversion"/>
  </si>
  <si>
    <t>二C</t>
    <phoneticPr fontId="18" type="noConversion"/>
  </si>
  <si>
    <t>道藩008室</t>
    <phoneticPr fontId="18" type="noConversion"/>
  </si>
  <si>
    <t>二6-7</t>
    <phoneticPr fontId="18" type="noConversion"/>
  </si>
  <si>
    <t>研究833室</t>
    <phoneticPr fontId="18" type="noConversion"/>
  </si>
  <si>
    <t>一3、二3、三3</t>
    <phoneticPr fontId="18" type="noConversion"/>
  </si>
  <si>
    <t>道藩006室</t>
    <phoneticPr fontId="18" type="noConversion"/>
  </si>
  <si>
    <t>二5-6</t>
    <phoneticPr fontId="18" type="noConversion"/>
  </si>
  <si>
    <t>研究411室</t>
    <phoneticPr fontId="18" type="noConversion"/>
  </si>
  <si>
    <t>二3-4</t>
    <phoneticPr fontId="18" type="noConversion"/>
  </si>
  <si>
    <t>研究602室</t>
    <phoneticPr fontId="18" type="noConversion"/>
  </si>
  <si>
    <t>二5-6、四5-6</t>
    <phoneticPr fontId="18" type="noConversion"/>
  </si>
  <si>
    <t>外語學院院長室</t>
    <phoneticPr fontId="18" type="noConversion"/>
  </si>
  <si>
    <t>二5-6</t>
    <phoneticPr fontId="18" type="noConversion"/>
  </si>
  <si>
    <t>研究525室</t>
    <phoneticPr fontId="18" type="noConversion"/>
  </si>
  <si>
    <t>二C-5</t>
    <phoneticPr fontId="18" type="noConversion"/>
  </si>
  <si>
    <t>研究501室</t>
    <phoneticPr fontId="18" type="noConversion"/>
  </si>
  <si>
    <t>二C-D</t>
    <phoneticPr fontId="18" type="noConversion"/>
  </si>
  <si>
    <t>研究711室</t>
    <phoneticPr fontId="18" type="noConversion"/>
  </si>
  <si>
    <t>四3-4</t>
    <phoneticPr fontId="18" type="noConversion"/>
  </si>
  <si>
    <t>研究526室</t>
    <phoneticPr fontId="18" type="noConversion"/>
  </si>
  <si>
    <t>二D、7</t>
    <phoneticPr fontId="18" type="noConversion"/>
  </si>
  <si>
    <t>研究810室</t>
    <phoneticPr fontId="18" type="noConversion"/>
  </si>
  <si>
    <t>一5-6</t>
    <phoneticPr fontId="18" type="noConversion"/>
  </si>
  <si>
    <t>研究728室</t>
    <phoneticPr fontId="18" type="noConversion"/>
  </si>
  <si>
    <t>二7、三7、四7</t>
    <phoneticPr fontId="18" type="noConversion"/>
  </si>
  <si>
    <t>行政大樓副學務長室</t>
    <phoneticPr fontId="18" type="noConversion"/>
  </si>
  <si>
    <t>二C-D</t>
    <phoneticPr fontId="18" type="noConversion"/>
  </si>
  <si>
    <t>研究743室</t>
    <phoneticPr fontId="18" type="noConversion"/>
  </si>
  <si>
    <t>四C</t>
    <phoneticPr fontId="18" type="noConversion"/>
  </si>
  <si>
    <t>二5-6</t>
    <phoneticPr fontId="18" type="noConversion"/>
  </si>
  <si>
    <t>二3-4</t>
    <phoneticPr fontId="18" type="noConversion"/>
  </si>
  <si>
    <t>研究室</t>
    <phoneticPr fontId="18" type="noConversion"/>
  </si>
  <si>
    <t>三3-4</t>
    <phoneticPr fontId="18" type="noConversion"/>
  </si>
  <si>
    <t>研究室</t>
    <phoneticPr fontId="18" type="noConversion"/>
  </si>
  <si>
    <t>本系</t>
    <phoneticPr fontId="18" type="noConversion"/>
  </si>
  <si>
    <t>三D-5</t>
    <phoneticPr fontId="18" type="noConversion"/>
  </si>
  <si>
    <t>研究室</t>
    <phoneticPr fontId="18" type="noConversion"/>
  </si>
  <si>
    <t>本系</t>
    <phoneticPr fontId="18" type="noConversion"/>
  </si>
  <si>
    <t>五2-3</t>
    <phoneticPr fontId="18" type="noConversion"/>
  </si>
  <si>
    <t>五7-8</t>
    <phoneticPr fontId="18" type="noConversion"/>
  </si>
  <si>
    <t>果夫107室</t>
    <phoneticPr fontId="18" type="noConversion"/>
  </si>
  <si>
    <t>1、2</t>
    <phoneticPr fontId="18" type="noConversion"/>
  </si>
  <si>
    <t>五5-6</t>
    <phoneticPr fontId="18" type="noConversion"/>
  </si>
  <si>
    <t>綜院1112室</t>
    <phoneticPr fontId="18" type="noConversion"/>
  </si>
  <si>
    <t>四7-8</t>
    <phoneticPr fontId="18" type="noConversion"/>
  </si>
  <si>
    <t>導師系所</t>
    <phoneticPr fontId="18" type="noConversion"/>
  </si>
  <si>
    <t>導師姓名</t>
    <phoneticPr fontId="18" type="noConversion"/>
  </si>
  <si>
    <t>皆可</t>
  </si>
  <si>
    <t>晤談項目
1.專業修課及學習建議
2.職涯探索或興趣交流
3.留學經驗與校園生活
4.以上皆可</t>
    <phoneticPr fontId="18" type="noConversion"/>
  </si>
  <si>
    <t>先約</t>
    <phoneticPr fontId="18" type="noConversion"/>
  </si>
  <si>
    <t>需先預約</t>
  </si>
  <si>
    <t>志希108室</t>
    <phoneticPr fontId="18" type="noConversion"/>
  </si>
  <si>
    <t>二3-4</t>
    <phoneticPr fontId="18" type="noConversion"/>
  </si>
  <si>
    <t>所長室</t>
    <phoneticPr fontId="18" type="noConversion"/>
  </si>
  <si>
    <t>四3-4</t>
    <phoneticPr fontId="18" type="noConversion"/>
  </si>
  <si>
    <t>院長室</t>
    <phoneticPr fontId="18" type="noConversion"/>
  </si>
  <si>
    <t>應物所</t>
  </si>
  <si>
    <t>許琇娟</t>
    <phoneticPr fontId="18" type="noConversion"/>
  </si>
  <si>
    <t>蔡尚岳</t>
    <phoneticPr fontId="18" type="noConversion"/>
  </si>
  <si>
    <t>季陶324室</t>
    <phoneticPr fontId="18" type="noConversion"/>
  </si>
  <si>
    <t>三6-7</t>
  </si>
  <si>
    <t>研究415室</t>
  </si>
  <si>
    <t>一D-5</t>
  </si>
  <si>
    <t>研究5樓中庭</t>
  </si>
  <si>
    <t>四5-6</t>
  </si>
  <si>
    <t>百年008室</t>
  </si>
  <si>
    <t>五7-8</t>
  </si>
  <si>
    <r>
      <t xml:space="preserve">晤談對象
</t>
    </r>
    <r>
      <rPr>
        <sz val="12"/>
        <color theme="1"/>
        <rFont val="標楷體"/>
        <family val="4"/>
        <charset val="136"/>
      </rPr>
      <t>1.導生
2.本系院
3.全校學生</t>
    </r>
    <phoneticPr fontId="18" type="noConversion"/>
  </si>
  <si>
    <r>
      <t xml:space="preserve">備  註
</t>
    </r>
    <r>
      <rPr>
        <sz val="12"/>
        <color theme="1"/>
        <rFont val="標楷體"/>
        <family val="4"/>
        <charset val="136"/>
      </rPr>
      <t>1.應事前寄信/電話預約
2.其他</t>
    </r>
    <phoneticPr fontId="18" type="noConversion"/>
  </si>
  <si>
    <t>承辦人：</t>
    <phoneticPr fontId="18" type="noConversion"/>
  </si>
  <si>
    <t>單位主管：</t>
    <phoneticPr fontId="18" type="noConversion"/>
  </si>
  <si>
    <r>
      <t>111學年度第2學期導師Office Hours對學生開放情形彙整表</t>
    </r>
    <r>
      <rPr>
        <sz val="10"/>
        <color theme="1"/>
        <rFont val="標楷體"/>
        <family val="4"/>
        <charset val="136"/>
      </rPr>
      <t xml:space="preserve">   更新日期：</t>
    </r>
    <phoneticPr fontId="18" type="noConversion"/>
  </si>
  <si>
    <t>社工所</t>
    <phoneticPr fontId="18" type="noConversion"/>
  </si>
  <si>
    <t>王明聖</t>
    <phoneticPr fontId="18" type="noConversion"/>
  </si>
  <si>
    <t>宋麗玉</t>
    <phoneticPr fontId="18" type="noConversion"/>
  </si>
  <si>
    <t>蔡培元</t>
    <phoneticPr fontId="18" type="noConversion"/>
  </si>
  <si>
    <t>社工所</t>
    <phoneticPr fontId="18" type="noConversion"/>
  </si>
  <si>
    <t>王增勇</t>
    <phoneticPr fontId="18" type="noConversion"/>
  </si>
  <si>
    <t>1、2</t>
    <phoneticPr fontId="18" type="noConversion"/>
  </si>
  <si>
    <t>1  　</t>
  </si>
  <si>
    <t>　週二下午2-5點</t>
  </si>
  <si>
    <t>週三上午10-12點</t>
  </si>
  <si>
    <t>綜合院館南棟15樓271555室</t>
  </si>
  <si>
    <t>　綜合院館南棟16樓271650室</t>
    <phoneticPr fontId="18" type="noConversion"/>
  </si>
  <si>
    <t>　綜合院館南棟16樓271653室</t>
    <phoneticPr fontId="18" type="noConversion"/>
  </si>
  <si>
    <t>綜合院館北棟7樓270704室</t>
    <phoneticPr fontId="18" type="noConversion"/>
  </si>
  <si>
    <t>週一上午10-12點</t>
    <phoneticPr fontId="18" type="noConversion"/>
  </si>
  <si>
    <t>週三下午2-5點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</si>
</sst>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10" xfId="0" applyFont="1" applyBorder="1">
      <alignment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0" fontId="22" fillId="0" borderId="10" xfId="0" applyFont="1" applyBorder="1">
      <alignment vertical="center"/>
    </xf>
    <xf numFmtId="0" fontId="20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606"/>
  <sheetViews>
    <sheetView tabSelected="1" workbookViewId="0">
      <selection activeCell="A17" sqref="A17:XFD20"/>
    </sheetView>
  </sheetViews>
  <sheetFormatPr defaultColWidth="9" defaultRowHeight="17" x14ac:dyDescent="0.4"/>
  <cols>
    <col min="1" max="1" width="13.08984375" style="1" customWidth="1"/>
    <col min="2" max="2" width="10.26953125" style="1" customWidth="1"/>
    <col min="3" max="3" width="11" style="1" customWidth="1"/>
    <col min="4" max="4" width="23" style="1" bestFit="1" customWidth="1"/>
    <col min="5" max="5" width="28.81640625" style="1" bestFit="1" customWidth="1"/>
    <col min="6" max="6" width="21.90625" style="1" customWidth="1"/>
    <col min="7" max="7" width="10.7265625" style="1" customWidth="1"/>
    <col min="8" max="16384" width="9" style="1"/>
  </cols>
  <sheetData>
    <row r="1" spans="1:7" s="2" customFormat="1" ht="29.25" customHeight="1" x14ac:dyDescent="0.4">
      <c r="A1" s="4" t="s">
        <v>238</v>
      </c>
      <c r="B1" s="5"/>
      <c r="C1" s="5"/>
      <c r="D1" s="5"/>
      <c r="E1" s="5"/>
      <c r="F1" s="5"/>
      <c r="G1" s="6"/>
    </row>
    <row r="2" spans="1:7" ht="142" customHeight="1" x14ac:dyDescent="0.4">
      <c r="A2" s="7" t="s">
        <v>212</v>
      </c>
      <c r="B2" s="7" t="s">
        <v>213</v>
      </c>
      <c r="C2" s="11" t="s">
        <v>234</v>
      </c>
      <c r="D2" s="8" t="s">
        <v>0</v>
      </c>
      <c r="E2" s="8" t="s">
        <v>1</v>
      </c>
      <c r="F2" s="9" t="s">
        <v>215</v>
      </c>
      <c r="G2" s="11" t="s">
        <v>235</v>
      </c>
    </row>
    <row r="3" spans="1:7" x14ac:dyDescent="0.4">
      <c r="A3" s="12" t="s">
        <v>239</v>
      </c>
      <c r="B3" s="12" t="s">
        <v>240</v>
      </c>
      <c r="C3" s="12">
        <v>1</v>
      </c>
      <c r="D3" s="12" t="s">
        <v>253</v>
      </c>
      <c r="E3" s="13" t="s">
        <v>252</v>
      </c>
      <c r="F3" s="12">
        <v>4</v>
      </c>
      <c r="G3" s="12">
        <v>1</v>
      </c>
    </row>
    <row r="4" spans="1:7" ht="34" x14ac:dyDescent="0.4">
      <c r="A4" s="12" t="s">
        <v>239</v>
      </c>
      <c r="B4" s="12" t="s">
        <v>241</v>
      </c>
      <c r="C4" s="14" t="s">
        <v>246</v>
      </c>
      <c r="D4" s="14" t="s">
        <v>247</v>
      </c>
      <c r="E4" s="14" t="s">
        <v>250</v>
      </c>
      <c r="F4" s="14">
        <v>4</v>
      </c>
      <c r="G4" s="14">
        <v>1</v>
      </c>
    </row>
    <row r="5" spans="1:7" x14ac:dyDescent="0.4">
      <c r="A5" s="12" t="s">
        <v>239</v>
      </c>
      <c r="B5" s="12" t="s">
        <v>242</v>
      </c>
      <c r="C5" s="12">
        <v>1</v>
      </c>
      <c r="D5" s="12" t="s">
        <v>248</v>
      </c>
      <c r="E5" s="12" t="s">
        <v>249</v>
      </c>
      <c r="F5" s="12">
        <v>4</v>
      </c>
      <c r="G5" s="12">
        <v>1</v>
      </c>
    </row>
    <row r="6" spans="1:7" ht="34" x14ac:dyDescent="0.4">
      <c r="A6" s="12" t="s">
        <v>243</v>
      </c>
      <c r="B6" s="12" t="s">
        <v>244</v>
      </c>
      <c r="C6" s="12" t="s">
        <v>245</v>
      </c>
      <c r="D6" s="12" t="s">
        <v>254</v>
      </c>
      <c r="E6" s="14" t="s">
        <v>251</v>
      </c>
      <c r="F6" s="12">
        <v>4</v>
      </c>
      <c r="G6" s="12">
        <v>1</v>
      </c>
    </row>
    <row r="7" spans="1:7" ht="16" customHeight="1" x14ac:dyDescent="0.4">
      <c r="A7" s="3"/>
      <c r="B7" s="3"/>
      <c r="C7" s="3"/>
      <c r="D7" s="3"/>
      <c r="E7" s="3"/>
      <c r="F7" s="3"/>
      <c r="G7" s="3"/>
    </row>
    <row r="8" spans="1:7" x14ac:dyDescent="0.4">
      <c r="A8" s="3"/>
      <c r="B8" s="3"/>
      <c r="C8" s="3"/>
      <c r="D8" s="3"/>
      <c r="E8" s="3"/>
      <c r="F8" s="3"/>
      <c r="G8" s="3"/>
    </row>
    <row r="9" spans="1:7" x14ac:dyDescent="0.4">
      <c r="A9" s="3"/>
      <c r="B9" s="3"/>
      <c r="C9" s="3"/>
      <c r="D9" s="3"/>
      <c r="E9" s="3"/>
      <c r="F9" s="3"/>
      <c r="G9" s="3"/>
    </row>
    <row r="10" spans="1:7" x14ac:dyDescent="0.4">
      <c r="A10" s="3"/>
      <c r="B10" s="3"/>
      <c r="C10" s="3"/>
      <c r="D10" s="3"/>
      <c r="E10" s="3"/>
      <c r="F10" s="3"/>
      <c r="G10" s="3"/>
    </row>
    <row r="11" spans="1:7" x14ac:dyDescent="0.4">
      <c r="A11" s="3"/>
      <c r="B11" s="3"/>
      <c r="C11" s="3"/>
      <c r="D11" s="3"/>
      <c r="E11" s="3"/>
      <c r="F11" s="3"/>
      <c r="G11" s="3"/>
    </row>
    <row r="12" spans="1:7" x14ac:dyDescent="0.4">
      <c r="A12" s="3"/>
      <c r="B12" s="3"/>
      <c r="C12" s="3"/>
      <c r="D12" s="3"/>
      <c r="E12" s="3"/>
      <c r="F12" s="3"/>
      <c r="G12" s="3"/>
    </row>
    <row r="13" spans="1:7" x14ac:dyDescent="0.4">
      <c r="A13" s="3"/>
      <c r="B13" s="3"/>
      <c r="C13" s="3"/>
      <c r="D13" s="3"/>
      <c r="E13" s="3"/>
      <c r="F13" s="3"/>
      <c r="G13" s="3"/>
    </row>
    <row r="14" spans="1:7" x14ac:dyDescent="0.4">
      <c r="A14" s="3"/>
      <c r="B14" s="3"/>
      <c r="C14" s="3"/>
      <c r="D14" s="3"/>
      <c r="E14" s="3"/>
      <c r="F14" s="3"/>
      <c r="G14" s="3"/>
    </row>
    <row r="15" spans="1:7" x14ac:dyDescent="0.4">
      <c r="A15" s="3"/>
      <c r="B15" s="3"/>
      <c r="C15" s="3"/>
      <c r="D15" s="3"/>
      <c r="E15" s="3"/>
      <c r="F15" s="3"/>
      <c r="G15" s="3"/>
    </row>
    <row r="16" spans="1:7" x14ac:dyDescent="0.4">
      <c r="A16" s="3"/>
      <c r="B16" s="3"/>
      <c r="C16" s="3"/>
      <c r="D16" s="3"/>
      <c r="E16" s="3"/>
      <c r="F16" s="3"/>
      <c r="G16" s="3"/>
    </row>
    <row r="17" spans="1:7" hidden="1" x14ac:dyDescent="0.4">
      <c r="A17" s="3" t="str">
        <f t="shared" ref="A17:A26" si="0">"教育系"</f>
        <v>教育系</v>
      </c>
      <c r="B17" s="3" t="str">
        <f>"王素芸"</f>
        <v>王素芸</v>
      </c>
      <c r="C17" s="3">
        <v>1</v>
      </c>
      <c r="D17" s="3" t="s">
        <v>10</v>
      </c>
      <c r="E17" s="3" t="s">
        <v>11</v>
      </c>
      <c r="F17" s="3">
        <v>4</v>
      </c>
      <c r="G17" s="3" t="s">
        <v>9</v>
      </c>
    </row>
    <row r="18" spans="1:7" hidden="1" x14ac:dyDescent="0.4">
      <c r="A18" s="3" t="str">
        <f t="shared" si="0"/>
        <v>教育系</v>
      </c>
      <c r="B18" s="3" t="str">
        <f>"宋宥賢"</f>
        <v>宋宥賢</v>
      </c>
      <c r="C18" s="3">
        <v>2</v>
      </c>
      <c r="D18" s="3" t="s">
        <v>5</v>
      </c>
      <c r="E18" s="3" t="s">
        <v>6</v>
      </c>
      <c r="F18" s="3">
        <v>4</v>
      </c>
      <c r="G18" s="3" t="s">
        <v>9</v>
      </c>
    </row>
    <row r="19" spans="1:7" hidden="1" x14ac:dyDescent="0.4">
      <c r="A19" s="3" t="str">
        <f t="shared" si="0"/>
        <v>教育系</v>
      </c>
      <c r="B19" s="3" t="str">
        <f>"李淑菁"</f>
        <v>李淑菁</v>
      </c>
      <c r="C19" s="3">
        <v>1</v>
      </c>
      <c r="D19" s="3" t="s">
        <v>15</v>
      </c>
      <c r="E19" s="3" t="s">
        <v>16</v>
      </c>
      <c r="F19" s="3">
        <v>4</v>
      </c>
      <c r="G19" s="3"/>
    </row>
    <row r="20" spans="1:7" hidden="1" x14ac:dyDescent="0.4">
      <c r="A20" s="3" t="str">
        <f t="shared" si="0"/>
        <v>教育系</v>
      </c>
      <c r="B20" s="3" t="str">
        <f>"林進山"</f>
        <v>林進山</v>
      </c>
      <c r="C20" s="3">
        <v>1</v>
      </c>
      <c r="D20" s="3" t="s">
        <v>3</v>
      </c>
      <c r="E20" s="3" t="s">
        <v>4</v>
      </c>
      <c r="F20" s="3" t="s">
        <v>2</v>
      </c>
      <c r="G20" s="3"/>
    </row>
    <row r="21" spans="1:7" hidden="1" x14ac:dyDescent="0.4">
      <c r="A21" s="3" t="str">
        <f t="shared" si="0"/>
        <v>教育系</v>
      </c>
      <c r="B21" s="3" t="str">
        <f>"湯家偉"</f>
        <v>湯家偉</v>
      </c>
      <c r="C21" s="3">
        <v>1</v>
      </c>
      <c r="D21" s="3" t="s">
        <v>17</v>
      </c>
      <c r="E21" s="3" t="s">
        <v>18</v>
      </c>
      <c r="F21" s="3">
        <v>4</v>
      </c>
      <c r="G21" s="3"/>
    </row>
    <row r="22" spans="1:7" hidden="1" x14ac:dyDescent="0.4">
      <c r="A22" s="3" t="str">
        <f t="shared" si="0"/>
        <v>教育系</v>
      </c>
      <c r="B22" s="3" t="str">
        <f>"侯永琪"</f>
        <v>侯永琪</v>
      </c>
      <c r="C22" s="3">
        <v>1</v>
      </c>
      <c r="D22" s="3" t="s">
        <v>7</v>
      </c>
      <c r="E22" s="3" t="s">
        <v>8</v>
      </c>
      <c r="F22" s="3">
        <v>4</v>
      </c>
      <c r="G22" s="3" t="s">
        <v>9</v>
      </c>
    </row>
    <row r="23" spans="1:7" hidden="1" x14ac:dyDescent="0.4">
      <c r="A23" s="1" t="str">
        <f t="shared" si="0"/>
        <v>教育系</v>
      </c>
      <c r="B23" s="1" t="str">
        <f>"陳婉真"</f>
        <v>陳婉真</v>
      </c>
    </row>
    <row r="24" spans="1:7" hidden="1" x14ac:dyDescent="0.4">
      <c r="A24" s="1" t="str">
        <f t="shared" si="0"/>
        <v>教育系</v>
      </c>
      <c r="B24" s="1" t="str">
        <f>"鄭同僚"</f>
        <v>鄭同僚</v>
      </c>
    </row>
    <row r="25" spans="1:7" hidden="1" x14ac:dyDescent="0.4">
      <c r="A25" s="1" t="str">
        <f t="shared" si="0"/>
        <v>教育系</v>
      </c>
      <c r="B25" s="1" t="str">
        <f>"余民寧"</f>
        <v>余民寧</v>
      </c>
    </row>
    <row r="26" spans="1:7" hidden="1" x14ac:dyDescent="0.4">
      <c r="A26" s="3" t="str">
        <f t="shared" si="0"/>
        <v>教育系</v>
      </c>
      <c r="B26" s="3" t="str">
        <f>"陳榮政"</f>
        <v>陳榮政</v>
      </c>
      <c r="C26" s="3">
        <v>1</v>
      </c>
      <c r="D26" s="3" t="s">
        <v>12</v>
      </c>
      <c r="E26" s="3" t="s">
        <v>13</v>
      </c>
      <c r="F26" s="3">
        <v>4</v>
      </c>
      <c r="G26" s="3" t="s">
        <v>14</v>
      </c>
    </row>
    <row r="27" spans="1:7" hidden="1" x14ac:dyDescent="0.4">
      <c r="A27" s="3" t="str">
        <f t="shared" ref="A27:A38" si="1">"歷史系"</f>
        <v>歷史系</v>
      </c>
      <c r="B27" s="3" t="str">
        <f>"崔國瑜"</f>
        <v>崔國瑜</v>
      </c>
      <c r="C27" s="3">
        <v>1</v>
      </c>
      <c r="D27" s="3"/>
      <c r="E27" s="3"/>
      <c r="F27" s="3"/>
      <c r="G27" s="3"/>
    </row>
    <row r="28" spans="1:7" hidden="1" x14ac:dyDescent="0.4">
      <c r="A28" s="3" t="str">
        <f t="shared" si="1"/>
        <v>歷史系</v>
      </c>
      <c r="B28" s="3" t="str">
        <f>"陳致宏"</f>
        <v>陳致宏</v>
      </c>
      <c r="C28" s="3">
        <v>3</v>
      </c>
      <c r="D28" s="3" t="s">
        <v>28</v>
      </c>
      <c r="E28" s="3" t="s">
        <v>29</v>
      </c>
      <c r="F28" s="3">
        <v>4</v>
      </c>
      <c r="G28" s="3"/>
    </row>
    <row r="29" spans="1:7" hidden="1" x14ac:dyDescent="0.4">
      <c r="A29" s="3" t="str">
        <f t="shared" si="1"/>
        <v>歷史系</v>
      </c>
      <c r="B29" s="3" t="str">
        <f>"黃仁姿"</f>
        <v>黃仁姿</v>
      </c>
      <c r="C29" s="3">
        <v>3</v>
      </c>
      <c r="D29" s="3" t="s">
        <v>26</v>
      </c>
      <c r="E29" s="3" t="s">
        <v>27</v>
      </c>
      <c r="F29" s="3">
        <v>4</v>
      </c>
      <c r="G29" s="3"/>
    </row>
    <row r="30" spans="1:7" hidden="1" x14ac:dyDescent="0.4">
      <c r="A30" s="3" t="str">
        <f t="shared" si="1"/>
        <v>歷史系</v>
      </c>
      <c r="B30" s="3" t="str">
        <f>"倪墨杰"</f>
        <v>倪墨杰</v>
      </c>
      <c r="C30" s="3">
        <v>2</v>
      </c>
      <c r="D30" s="3"/>
      <c r="E30" s="3"/>
      <c r="F30" s="3"/>
      <c r="G30" s="3"/>
    </row>
    <row r="31" spans="1:7" hidden="1" x14ac:dyDescent="0.4">
      <c r="A31" s="3" t="str">
        <f t="shared" si="1"/>
        <v>歷史系</v>
      </c>
      <c r="B31" s="3" t="str">
        <f>"藍適齊"</f>
        <v>藍適齊</v>
      </c>
      <c r="C31" s="3">
        <v>1</v>
      </c>
      <c r="D31" s="3"/>
      <c r="E31" s="3"/>
      <c r="F31" s="3"/>
      <c r="G31" s="3"/>
    </row>
    <row r="32" spans="1:7" hidden="1" x14ac:dyDescent="0.4">
      <c r="A32" s="3" t="str">
        <f t="shared" si="1"/>
        <v>歷史系</v>
      </c>
      <c r="B32" s="3" t="str">
        <f>"劉宇珍"</f>
        <v>劉宇珍</v>
      </c>
      <c r="C32" s="3">
        <v>1</v>
      </c>
      <c r="D32" s="3"/>
      <c r="E32" s="3"/>
      <c r="F32" s="3"/>
      <c r="G32" s="3"/>
    </row>
    <row r="33" spans="1:7" hidden="1" x14ac:dyDescent="0.4">
      <c r="A33" s="3" t="str">
        <f t="shared" si="1"/>
        <v>歷史系</v>
      </c>
      <c r="B33" s="3" t="str">
        <f>"廖敏淑"</f>
        <v>廖敏淑</v>
      </c>
      <c r="C33" s="3">
        <v>3</v>
      </c>
      <c r="D33" s="3" t="s">
        <v>23</v>
      </c>
      <c r="E33" s="3" t="s">
        <v>24</v>
      </c>
      <c r="F33" s="3">
        <v>4</v>
      </c>
      <c r="G33" s="3" t="s">
        <v>25</v>
      </c>
    </row>
    <row r="34" spans="1:7" hidden="1" x14ac:dyDescent="0.4">
      <c r="A34" s="3" t="str">
        <f t="shared" si="1"/>
        <v>歷史系</v>
      </c>
      <c r="B34" s="3" t="str">
        <f>"雷恩‧侯洛伊德"</f>
        <v>雷恩‧侯洛伊德</v>
      </c>
      <c r="C34" s="3">
        <v>3</v>
      </c>
      <c r="D34" s="3" t="s">
        <v>30</v>
      </c>
      <c r="E34" s="3" t="s">
        <v>31</v>
      </c>
      <c r="F34" s="3">
        <v>4</v>
      </c>
      <c r="G34" s="3"/>
    </row>
    <row r="35" spans="1:7" hidden="1" x14ac:dyDescent="0.4">
      <c r="A35" s="3" t="str">
        <f t="shared" si="1"/>
        <v>歷史系</v>
      </c>
      <c r="B35" s="3" t="str">
        <f>"陳秀芬"</f>
        <v>陳秀芬</v>
      </c>
      <c r="C35" s="3">
        <v>2</v>
      </c>
      <c r="D35" s="3"/>
      <c r="E35" s="3"/>
      <c r="F35" s="3"/>
      <c r="G35" s="3"/>
    </row>
    <row r="36" spans="1:7" hidden="1" x14ac:dyDescent="0.4">
      <c r="A36" s="3" t="str">
        <f t="shared" si="1"/>
        <v>歷史系</v>
      </c>
      <c r="B36" s="3" t="str">
        <f>"楊瑞松"</f>
        <v>楊瑞松</v>
      </c>
      <c r="C36" s="3">
        <v>3</v>
      </c>
      <c r="D36" s="3"/>
      <c r="E36" s="3" t="s">
        <v>21</v>
      </c>
      <c r="F36" s="3">
        <v>4</v>
      </c>
      <c r="G36" s="3" t="s">
        <v>22</v>
      </c>
    </row>
    <row r="37" spans="1:7" hidden="1" x14ac:dyDescent="0.4">
      <c r="A37" s="3" t="str">
        <f t="shared" si="1"/>
        <v>歷史系</v>
      </c>
      <c r="B37" s="3" t="str">
        <f>"王德權"</f>
        <v>王德權</v>
      </c>
      <c r="C37" s="3">
        <v>3</v>
      </c>
      <c r="D37" s="3" t="s">
        <v>19</v>
      </c>
      <c r="E37" s="3" t="s">
        <v>20</v>
      </c>
      <c r="F37" s="3">
        <v>4</v>
      </c>
      <c r="G37" s="3"/>
    </row>
    <row r="38" spans="1:7" hidden="1" x14ac:dyDescent="0.4">
      <c r="A38" s="1" t="str">
        <f t="shared" si="1"/>
        <v>歷史系</v>
      </c>
      <c r="B38" s="1" t="str">
        <f>"金仕起"</f>
        <v>金仕起</v>
      </c>
    </row>
    <row r="39" spans="1:7" hidden="1" x14ac:dyDescent="0.4">
      <c r="A39" s="1" t="str">
        <f t="shared" ref="A39:A49" si="2">"哲學系"</f>
        <v>哲學系</v>
      </c>
      <c r="B39" s="1" t="str">
        <f>"胡志強"</f>
        <v>胡志強</v>
      </c>
    </row>
    <row r="40" spans="1:7" hidden="1" x14ac:dyDescent="0.4">
      <c r="A40" s="3" t="str">
        <f t="shared" si="2"/>
        <v>哲學系</v>
      </c>
      <c r="B40" s="3" t="str">
        <f>"鄭會穎"</f>
        <v>鄭會穎</v>
      </c>
      <c r="C40" s="3">
        <v>3</v>
      </c>
      <c r="D40" s="3" t="s">
        <v>32</v>
      </c>
      <c r="E40" s="3" t="s">
        <v>33</v>
      </c>
      <c r="F40" s="3">
        <v>4</v>
      </c>
      <c r="G40" s="3"/>
    </row>
    <row r="41" spans="1:7" hidden="1" x14ac:dyDescent="0.4">
      <c r="A41" s="3" t="str">
        <f t="shared" si="2"/>
        <v>哲學系</v>
      </c>
      <c r="B41" s="3" t="str">
        <f>"張國賢"</f>
        <v>張國賢</v>
      </c>
      <c r="C41" s="3">
        <v>1</v>
      </c>
      <c r="D41" s="3"/>
      <c r="E41" s="3"/>
      <c r="F41" s="3"/>
      <c r="G41" s="3"/>
    </row>
    <row r="42" spans="1:7" hidden="1" x14ac:dyDescent="0.4">
      <c r="A42" s="1" t="str">
        <f t="shared" si="2"/>
        <v>哲學系</v>
      </c>
      <c r="B42" s="1" t="str">
        <f>"吳啟超"</f>
        <v>吳啟超</v>
      </c>
    </row>
    <row r="43" spans="1:7" hidden="1" x14ac:dyDescent="0.4">
      <c r="A43" s="3" t="str">
        <f t="shared" si="2"/>
        <v>哲學系</v>
      </c>
      <c r="B43" s="3" t="str">
        <f>"羅麗君"</f>
        <v>羅麗君</v>
      </c>
      <c r="C43" s="3">
        <v>3</v>
      </c>
      <c r="D43" s="3" t="s">
        <v>36</v>
      </c>
      <c r="E43" s="3" t="s">
        <v>37</v>
      </c>
      <c r="F43" s="3">
        <v>4</v>
      </c>
      <c r="G43" s="3"/>
    </row>
    <row r="44" spans="1:7" hidden="1" x14ac:dyDescent="0.4">
      <c r="A44" s="3" t="str">
        <f t="shared" si="2"/>
        <v>哲學系</v>
      </c>
      <c r="B44" s="3" t="str">
        <f>"鄭光明"</f>
        <v>鄭光明</v>
      </c>
      <c r="C44" s="3">
        <v>3</v>
      </c>
      <c r="D44" s="3" t="s">
        <v>34</v>
      </c>
      <c r="E44" s="3" t="s">
        <v>35</v>
      </c>
      <c r="F44" s="3">
        <v>4</v>
      </c>
      <c r="G44" s="3"/>
    </row>
    <row r="45" spans="1:7" hidden="1" x14ac:dyDescent="0.4">
      <c r="A45" s="3" t="str">
        <f t="shared" si="2"/>
        <v>哲學系</v>
      </c>
      <c r="B45" s="3" t="str">
        <f>"謝昭銳"</f>
        <v>謝昭銳</v>
      </c>
      <c r="C45" s="3">
        <v>1</v>
      </c>
      <c r="D45" s="3"/>
      <c r="E45" s="3"/>
      <c r="F45" s="3"/>
      <c r="G45" s="3"/>
    </row>
    <row r="46" spans="1:7" hidden="1" x14ac:dyDescent="0.4">
      <c r="A46" s="3" t="str">
        <f t="shared" si="2"/>
        <v>哲學系</v>
      </c>
      <c r="B46" s="3" t="str">
        <f>"蔡偉鼎"</f>
        <v>蔡偉鼎</v>
      </c>
      <c r="C46" s="3">
        <v>2</v>
      </c>
      <c r="D46" s="3"/>
      <c r="E46" s="3"/>
      <c r="F46" s="3"/>
      <c r="G46" s="3"/>
    </row>
    <row r="47" spans="1:7" hidden="1" x14ac:dyDescent="0.4">
      <c r="A47" s="3" t="str">
        <f t="shared" si="2"/>
        <v>哲學系</v>
      </c>
      <c r="B47" s="3" t="str">
        <f>"李維倫"</f>
        <v>李維倫</v>
      </c>
      <c r="C47" s="3">
        <v>1</v>
      </c>
      <c r="D47" s="3"/>
      <c r="E47" s="3"/>
      <c r="F47" s="3"/>
      <c r="G47" s="3"/>
    </row>
    <row r="48" spans="1:7" hidden="1" x14ac:dyDescent="0.4">
      <c r="A48" s="3" t="str">
        <f t="shared" si="2"/>
        <v>哲學系</v>
      </c>
      <c r="B48" s="3" t="str">
        <f>"王華"</f>
        <v>王華</v>
      </c>
      <c r="C48" s="3">
        <v>1</v>
      </c>
      <c r="D48" s="3"/>
      <c r="E48" s="3"/>
      <c r="F48" s="3"/>
      <c r="G48" s="3"/>
    </row>
    <row r="49" spans="1:7" hidden="1" x14ac:dyDescent="0.4">
      <c r="A49" s="1" t="str">
        <f t="shared" si="2"/>
        <v>哲學系</v>
      </c>
      <c r="B49" s="1" t="str">
        <f>"林遠澤"</f>
        <v>林遠澤</v>
      </c>
    </row>
    <row r="50" spans="1:7" hidden="1" x14ac:dyDescent="0.4">
      <c r="A50" s="1" t="str">
        <f>"圖檔所"</f>
        <v>圖檔所</v>
      </c>
      <c r="B50" s="1" t="str">
        <f>"林巧敏"</f>
        <v>林巧敏</v>
      </c>
    </row>
    <row r="51" spans="1:7" hidden="1" x14ac:dyDescent="0.4">
      <c r="A51" s="1" t="str">
        <f>"圖檔所"</f>
        <v>圖檔所</v>
      </c>
      <c r="B51" s="1" t="str">
        <f>"羅崇銘"</f>
        <v>羅崇銘</v>
      </c>
    </row>
    <row r="52" spans="1:7" hidden="1" x14ac:dyDescent="0.4">
      <c r="A52" s="1" t="str">
        <f>"圖檔所"</f>
        <v>圖檔所</v>
      </c>
      <c r="B52" s="1" t="str">
        <f>"李沛錞"</f>
        <v>李沛錞</v>
      </c>
    </row>
    <row r="53" spans="1:7" hidden="1" x14ac:dyDescent="0.4">
      <c r="A53" s="1" t="str">
        <f>"圖檔所"</f>
        <v>圖檔所</v>
      </c>
      <c r="B53" s="1" t="str">
        <f>"邱炯友"</f>
        <v>邱炯友</v>
      </c>
    </row>
    <row r="54" spans="1:7" hidden="1" x14ac:dyDescent="0.4">
      <c r="A54" s="1" t="str">
        <f>"宗教所"</f>
        <v>宗教所</v>
      </c>
      <c r="B54" s="1" t="str">
        <f>"林敬智"</f>
        <v>林敬智</v>
      </c>
    </row>
    <row r="55" spans="1:7" hidden="1" x14ac:dyDescent="0.4">
      <c r="A55" s="1" t="str">
        <f>"宗教所"</f>
        <v>宗教所</v>
      </c>
      <c r="B55" s="1" t="str">
        <f>"李玉珍"</f>
        <v>李玉珍</v>
      </c>
    </row>
    <row r="56" spans="1:7" hidden="1" x14ac:dyDescent="0.4">
      <c r="A56" s="3" t="str">
        <f>"幼教所"</f>
        <v>幼教所</v>
      </c>
      <c r="B56" s="3" t="str">
        <f>"倪鳴香"</f>
        <v>倪鳴香</v>
      </c>
      <c r="C56" s="3">
        <v>1</v>
      </c>
      <c r="D56" s="3"/>
      <c r="E56" s="3"/>
      <c r="F56" s="3"/>
      <c r="G56" s="3"/>
    </row>
    <row r="57" spans="1:7" hidden="1" x14ac:dyDescent="0.4">
      <c r="A57" s="3" t="str">
        <f>"幼教所"</f>
        <v>幼教所</v>
      </c>
      <c r="B57" s="3" t="str">
        <f>"張盈堃"</f>
        <v>張盈堃</v>
      </c>
      <c r="C57" s="3">
        <v>1</v>
      </c>
      <c r="D57" s="3"/>
      <c r="E57" s="3"/>
      <c r="F57" s="3"/>
      <c r="G57" s="3"/>
    </row>
    <row r="58" spans="1:7" hidden="1" x14ac:dyDescent="0.4">
      <c r="A58" s="1" t="str">
        <f>"幼教所"</f>
        <v>幼教所</v>
      </c>
      <c r="B58" s="1" t="str">
        <f>"李淑菁"</f>
        <v>李淑菁</v>
      </c>
    </row>
    <row r="59" spans="1:7" hidden="1" x14ac:dyDescent="0.4">
      <c r="A59" s="3" t="str">
        <f>"幼教所"</f>
        <v>幼教所</v>
      </c>
      <c r="B59" s="3" t="str">
        <f>"顏敏仁"</f>
        <v>顏敏仁</v>
      </c>
      <c r="C59" s="3">
        <v>1</v>
      </c>
      <c r="D59" s="3"/>
      <c r="E59" s="3"/>
      <c r="F59" s="3"/>
      <c r="G59" s="3"/>
    </row>
    <row r="60" spans="1:7" hidden="1" x14ac:dyDescent="0.4">
      <c r="A60" s="1" t="str">
        <f>"台史所"</f>
        <v>台史所</v>
      </c>
      <c r="B60" s="1" t="str">
        <f>"周俊宇"</f>
        <v>周俊宇</v>
      </c>
    </row>
    <row r="61" spans="1:7" hidden="1" x14ac:dyDescent="0.4">
      <c r="A61" s="1" t="str">
        <f>"台史所"</f>
        <v>台史所</v>
      </c>
      <c r="B61" s="1" t="str">
        <f>"前田直樹"</f>
        <v>前田直樹</v>
      </c>
    </row>
    <row r="62" spans="1:7" hidden="1" x14ac:dyDescent="0.4">
      <c r="A62" s="1" t="str">
        <f>"台史所"</f>
        <v>台史所</v>
      </c>
      <c r="B62" s="1" t="str">
        <f>"李福鐘"</f>
        <v>李福鐘</v>
      </c>
    </row>
    <row r="63" spans="1:7" hidden="1" x14ac:dyDescent="0.4">
      <c r="A63" s="1" t="str">
        <f>"台史所"</f>
        <v>台史所</v>
      </c>
      <c r="B63" s="1" t="str">
        <f>"林果顯"</f>
        <v>林果顯</v>
      </c>
    </row>
    <row r="64" spans="1:7" hidden="1" x14ac:dyDescent="0.4">
      <c r="A64" s="3" t="str">
        <f>"台文所"</f>
        <v>台文所</v>
      </c>
      <c r="B64" s="3" t="str">
        <f>"陳佩甄"</f>
        <v>陳佩甄</v>
      </c>
      <c r="C64" s="3">
        <v>1</v>
      </c>
      <c r="D64" s="3" t="s">
        <v>227</v>
      </c>
      <c r="E64" s="3" t="s">
        <v>228</v>
      </c>
      <c r="F64" s="3" t="s">
        <v>214</v>
      </c>
      <c r="G64" s="3" t="s">
        <v>217</v>
      </c>
    </row>
    <row r="65" spans="1:7" hidden="1" x14ac:dyDescent="0.4">
      <c r="A65" s="3" t="str">
        <f>"台文所"</f>
        <v>台文所</v>
      </c>
      <c r="B65" s="3" t="str">
        <f>"紀大偉"</f>
        <v>紀大偉</v>
      </c>
      <c r="C65" s="3">
        <v>1</v>
      </c>
      <c r="D65" s="3" t="s">
        <v>229</v>
      </c>
      <c r="E65" s="3" t="s">
        <v>230</v>
      </c>
      <c r="F65" s="3" t="s">
        <v>214</v>
      </c>
      <c r="G65" s="3" t="s">
        <v>217</v>
      </c>
    </row>
    <row r="66" spans="1:7" hidden="1" x14ac:dyDescent="0.4">
      <c r="A66" s="3" t="str">
        <f>"台文所"</f>
        <v>台文所</v>
      </c>
      <c r="B66" s="3" t="str">
        <f>"崔末順"</f>
        <v>崔末順</v>
      </c>
      <c r="C66" s="3">
        <v>1</v>
      </c>
      <c r="D66" s="3" t="s">
        <v>231</v>
      </c>
      <c r="E66" s="3" t="s">
        <v>232</v>
      </c>
      <c r="F66" s="3" t="s">
        <v>214</v>
      </c>
      <c r="G66" s="3" t="s">
        <v>217</v>
      </c>
    </row>
    <row r="67" spans="1:7" hidden="1" x14ac:dyDescent="0.4">
      <c r="A67" s="3" t="str">
        <f>"台文所"</f>
        <v>台文所</v>
      </c>
      <c r="B67" s="3" t="str">
        <f>"吳佩珍"</f>
        <v>吳佩珍</v>
      </c>
      <c r="C67" s="3">
        <v>1</v>
      </c>
      <c r="D67" s="3" t="s">
        <v>233</v>
      </c>
      <c r="E67" s="3" t="s">
        <v>228</v>
      </c>
      <c r="F67" s="3" t="s">
        <v>214</v>
      </c>
      <c r="G67" s="3" t="s">
        <v>217</v>
      </c>
    </row>
    <row r="68" spans="1:7" hidden="1" x14ac:dyDescent="0.4">
      <c r="A68" s="3" t="str">
        <f t="shared" ref="A68:A78" si="3">"華文博程"</f>
        <v>華文博程</v>
      </c>
      <c r="B68" s="3" t="str">
        <f>"林宏明"</f>
        <v>林宏明</v>
      </c>
      <c r="C68" s="3">
        <v>3</v>
      </c>
      <c r="D68" s="3" t="s">
        <v>38</v>
      </c>
      <c r="E68" s="3"/>
      <c r="F68" s="3">
        <v>4</v>
      </c>
      <c r="G68" s="3" t="s">
        <v>39</v>
      </c>
    </row>
    <row r="69" spans="1:7" hidden="1" x14ac:dyDescent="0.4">
      <c r="A69" s="1" t="str">
        <f t="shared" si="3"/>
        <v>華文博程</v>
      </c>
      <c r="B69" s="1" t="str">
        <f>"郭昭佑"</f>
        <v>郭昭佑</v>
      </c>
    </row>
    <row r="70" spans="1:7" hidden="1" x14ac:dyDescent="0.4">
      <c r="A70" s="1" t="str">
        <f t="shared" si="3"/>
        <v>華文博程</v>
      </c>
      <c r="B70" s="1" t="str">
        <f>"徐嘉慧"</f>
        <v>徐嘉慧</v>
      </c>
    </row>
    <row r="71" spans="1:7" hidden="1" x14ac:dyDescent="0.4">
      <c r="A71" s="1" t="str">
        <f t="shared" si="3"/>
        <v>華文博程</v>
      </c>
      <c r="B71" s="1" t="str">
        <f>"曾守正"</f>
        <v>曾守正</v>
      </c>
    </row>
    <row r="72" spans="1:7" hidden="1" x14ac:dyDescent="0.4">
      <c r="A72" s="1" t="str">
        <f t="shared" si="3"/>
        <v>華文博程</v>
      </c>
      <c r="B72" s="1" t="str">
        <f>"張堂錡"</f>
        <v>張堂錡</v>
      </c>
    </row>
    <row r="73" spans="1:7" hidden="1" x14ac:dyDescent="0.4">
      <c r="A73" s="1" t="str">
        <f t="shared" si="3"/>
        <v>華文博程</v>
      </c>
      <c r="B73" s="1" t="str">
        <f>"陳英傑"</f>
        <v>陳英傑</v>
      </c>
    </row>
    <row r="74" spans="1:7" hidden="1" x14ac:dyDescent="0.4">
      <c r="A74" s="1" t="str">
        <f t="shared" si="3"/>
        <v>華文博程</v>
      </c>
      <c r="B74" s="1" t="str">
        <f>"周志煌"</f>
        <v>周志煌</v>
      </c>
    </row>
    <row r="75" spans="1:7" hidden="1" x14ac:dyDescent="0.4">
      <c r="A75" s="1" t="str">
        <f t="shared" si="3"/>
        <v>華文博程</v>
      </c>
      <c r="B75" s="1" t="str">
        <f>"楊明璋"</f>
        <v>楊明璋</v>
      </c>
    </row>
    <row r="76" spans="1:7" hidden="1" x14ac:dyDescent="0.4">
      <c r="A76" s="1" t="str">
        <f t="shared" si="3"/>
        <v>華文博程</v>
      </c>
      <c r="B76" s="1" t="str">
        <f>"林桂如"</f>
        <v>林桂如</v>
      </c>
    </row>
    <row r="77" spans="1:7" hidden="1" x14ac:dyDescent="0.4">
      <c r="A77" s="1" t="str">
        <f t="shared" si="3"/>
        <v>華文博程</v>
      </c>
      <c r="B77" s="1" t="str">
        <f>"宋韻珊"</f>
        <v>宋韻珊</v>
      </c>
    </row>
    <row r="78" spans="1:7" hidden="1" x14ac:dyDescent="0.4">
      <c r="A78" s="3" t="str">
        <f t="shared" si="3"/>
        <v>華文博程</v>
      </c>
      <c r="B78" s="3" t="str">
        <f>"陳奕勳"</f>
        <v>陳奕勳</v>
      </c>
      <c r="C78" s="3">
        <v>3</v>
      </c>
      <c r="D78" s="3"/>
      <c r="E78" s="3"/>
      <c r="F78" s="3">
        <v>4</v>
      </c>
      <c r="G78" s="3"/>
    </row>
    <row r="79" spans="1:7" hidden="1" x14ac:dyDescent="0.4">
      <c r="A79" s="1" t="str">
        <f t="shared" ref="A79:A90" si="4">"華文碩程"</f>
        <v>華文碩程</v>
      </c>
      <c r="B79" s="1" t="str">
        <f>"林宏明"</f>
        <v>林宏明</v>
      </c>
    </row>
    <row r="80" spans="1:7" hidden="1" x14ac:dyDescent="0.4">
      <c r="A80" s="1" t="str">
        <f t="shared" si="4"/>
        <v>華文碩程</v>
      </c>
      <c r="B80" s="1" t="str">
        <f>"郭昭佑"</f>
        <v>郭昭佑</v>
      </c>
    </row>
    <row r="81" spans="1:7" hidden="1" x14ac:dyDescent="0.4">
      <c r="A81" s="1" t="str">
        <f t="shared" si="4"/>
        <v>華文碩程</v>
      </c>
      <c r="B81" s="1" t="str">
        <f>"徐嘉慧"</f>
        <v>徐嘉慧</v>
      </c>
    </row>
    <row r="82" spans="1:7" hidden="1" x14ac:dyDescent="0.4">
      <c r="A82" s="1" t="str">
        <f t="shared" si="4"/>
        <v>華文碩程</v>
      </c>
      <c r="B82" s="1" t="str">
        <f>"曾守正"</f>
        <v>曾守正</v>
      </c>
    </row>
    <row r="83" spans="1:7" hidden="1" x14ac:dyDescent="0.4">
      <c r="A83" s="1" t="str">
        <f t="shared" si="4"/>
        <v>華文碩程</v>
      </c>
      <c r="B83" s="1" t="str">
        <f>"張堂錡"</f>
        <v>張堂錡</v>
      </c>
    </row>
    <row r="84" spans="1:7" hidden="1" x14ac:dyDescent="0.4">
      <c r="A84" s="1" t="str">
        <f t="shared" si="4"/>
        <v>華文碩程</v>
      </c>
      <c r="B84" s="1" t="str">
        <f>"陳英傑"</f>
        <v>陳英傑</v>
      </c>
    </row>
    <row r="85" spans="1:7" hidden="1" x14ac:dyDescent="0.4">
      <c r="A85" s="1" t="str">
        <f t="shared" si="4"/>
        <v>華文碩程</v>
      </c>
      <c r="B85" s="1" t="str">
        <f>"周志煌"</f>
        <v>周志煌</v>
      </c>
    </row>
    <row r="86" spans="1:7" hidden="1" x14ac:dyDescent="0.4">
      <c r="A86" s="1" t="str">
        <f t="shared" si="4"/>
        <v>華文碩程</v>
      </c>
      <c r="B86" s="1" t="str">
        <f>"楊明璋"</f>
        <v>楊明璋</v>
      </c>
    </row>
    <row r="87" spans="1:7" hidden="1" x14ac:dyDescent="0.4">
      <c r="A87" s="1" t="str">
        <f t="shared" si="4"/>
        <v>華文碩程</v>
      </c>
      <c r="B87" s="1" t="str">
        <f>"林桂如"</f>
        <v>林桂如</v>
      </c>
    </row>
    <row r="88" spans="1:7" hidden="1" x14ac:dyDescent="0.4">
      <c r="A88" s="1" t="str">
        <f t="shared" si="4"/>
        <v>華文碩程</v>
      </c>
      <c r="B88" s="1" t="str">
        <f>"宋韻珊"</f>
        <v>宋韻珊</v>
      </c>
    </row>
    <row r="89" spans="1:7" hidden="1" x14ac:dyDescent="0.4">
      <c r="A89" s="3" t="str">
        <f t="shared" si="4"/>
        <v>華文碩程</v>
      </c>
      <c r="B89" s="3" t="str">
        <f>"陳仲妤"</f>
        <v>陳仲妤</v>
      </c>
      <c r="C89" s="3">
        <v>1</v>
      </c>
      <c r="D89" s="3"/>
      <c r="E89" s="3"/>
      <c r="F89" s="3"/>
      <c r="G89" s="3"/>
    </row>
    <row r="90" spans="1:7" hidden="1" x14ac:dyDescent="0.4">
      <c r="A90" s="1" t="str">
        <f t="shared" si="4"/>
        <v>華文碩程</v>
      </c>
      <c r="B90" s="1" t="str">
        <f>"杜容玥"</f>
        <v>杜容玥</v>
      </c>
    </row>
    <row r="91" spans="1:7" hidden="1" x14ac:dyDescent="0.4">
      <c r="A91" s="1" t="str">
        <f>"教政所"</f>
        <v>教政所</v>
      </c>
      <c r="B91" s="1" t="str">
        <f>"吳政達"</f>
        <v>吳政達</v>
      </c>
    </row>
    <row r="92" spans="1:7" hidden="1" x14ac:dyDescent="0.4">
      <c r="A92" s="1" t="str">
        <f>"教政所"</f>
        <v>教政所</v>
      </c>
      <c r="B92" s="1" t="str">
        <f>"郭昭佑"</f>
        <v>郭昭佑</v>
      </c>
    </row>
    <row r="93" spans="1:7" hidden="1" x14ac:dyDescent="0.4">
      <c r="A93" s="3" t="str">
        <f>"教政所"</f>
        <v>教政所</v>
      </c>
      <c r="B93" s="3" t="str">
        <f>"吳政達"</f>
        <v>吳政達</v>
      </c>
      <c r="C93" s="3">
        <v>2</v>
      </c>
      <c r="D93" s="3" t="s">
        <v>219</v>
      </c>
      <c r="E93" s="3" t="s">
        <v>220</v>
      </c>
      <c r="F93" s="3">
        <v>4</v>
      </c>
      <c r="G93" s="3"/>
    </row>
    <row r="94" spans="1:7" hidden="1" x14ac:dyDescent="0.4">
      <c r="A94" s="3" t="str">
        <f>"教政所"</f>
        <v>教政所</v>
      </c>
      <c r="B94" s="3" t="str">
        <f>"郭昭佑"</f>
        <v>郭昭佑</v>
      </c>
      <c r="C94" s="3">
        <v>2</v>
      </c>
      <c r="D94" s="3" t="s">
        <v>221</v>
      </c>
      <c r="E94" s="3" t="s">
        <v>222</v>
      </c>
      <c r="F94" s="3">
        <v>4</v>
      </c>
      <c r="G94" s="3"/>
    </row>
    <row r="95" spans="1:7" hidden="1" x14ac:dyDescent="0.4">
      <c r="A95" s="3" t="str">
        <f>"輔諮碩學程"</f>
        <v>輔諮碩學程</v>
      </c>
      <c r="B95" s="3" t="str">
        <f>"宋宥賢"</f>
        <v>宋宥賢</v>
      </c>
      <c r="C95" s="3">
        <v>2</v>
      </c>
      <c r="D95" s="3" t="s">
        <v>46</v>
      </c>
      <c r="E95" s="3" t="s">
        <v>218</v>
      </c>
      <c r="F95" s="3">
        <v>4</v>
      </c>
      <c r="G95" s="3" t="s">
        <v>68</v>
      </c>
    </row>
    <row r="96" spans="1:7" hidden="1" x14ac:dyDescent="0.4">
      <c r="A96" s="3" t="str">
        <f>"輔諮碩學程"</f>
        <v>輔諮碩學程</v>
      </c>
      <c r="B96" s="3" t="str">
        <f>"傅如馨"</f>
        <v>傅如馨</v>
      </c>
      <c r="C96" s="3">
        <v>3</v>
      </c>
      <c r="D96" s="3" t="s">
        <v>44</v>
      </c>
      <c r="E96" s="3" t="s">
        <v>45</v>
      </c>
      <c r="F96" s="3">
        <v>4</v>
      </c>
      <c r="G96" s="3"/>
    </row>
    <row r="97" spans="1:7" hidden="1" x14ac:dyDescent="0.4">
      <c r="A97" s="3" t="str">
        <f>"輔諮碩學程"</f>
        <v>輔諮碩學程</v>
      </c>
      <c r="B97" s="3" t="str">
        <f>"陳榮政"</f>
        <v>陳榮政</v>
      </c>
      <c r="C97" s="3">
        <v>2</v>
      </c>
      <c r="D97" s="3"/>
      <c r="E97" s="3" t="s">
        <v>42</v>
      </c>
      <c r="F97" s="3"/>
      <c r="G97" s="3" t="s">
        <v>43</v>
      </c>
    </row>
    <row r="98" spans="1:7" hidden="1" x14ac:dyDescent="0.4">
      <c r="A98" s="3" t="str">
        <f>"輔諮碩學程"</f>
        <v>輔諮碩學程</v>
      </c>
      <c r="B98" s="3" t="str">
        <f>"王素芸"</f>
        <v>王素芸</v>
      </c>
      <c r="C98" s="3">
        <v>2</v>
      </c>
      <c r="D98" s="3" t="s">
        <v>40</v>
      </c>
      <c r="E98" s="3" t="s">
        <v>41</v>
      </c>
      <c r="F98" s="3">
        <v>4</v>
      </c>
      <c r="G98" s="3"/>
    </row>
    <row r="99" spans="1:7" hidden="1" x14ac:dyDescent="0.4">
      <c r="A99" s="1" t="str">
        <f>"社科院"</f>
        <v>社科院</v>
      </c>
      <c r="B99" s="1" t="str">
        <f>"楊婉瑩"</f>
        <v>楊婉瑩</v>
      </c>
    </row>
    <row r="100" spans="1:7" hidden="1" x14ac:dyDescent="0.4">
      <c r="A100" s="3" t="str">
        <f t="shared" ref="A100:A110" si="5">"政治系"</f>
        <v>政治系</v>
      </c>
      <c r="B100" s="3" t="str">
        <f>"蘇彥斌"</f>
        <v>蘇彥斌</v>
      </c>
      <c r="C100" s="3">
        <v>1</v>
      </c>
      <c r="D100" s="3"/>
      <c r="E100" s="3"/>
      <c r="F100" s="3"/>
      <c r="G100" s="3"/>
    </row>
    <row r="101" spans="1:7" hidden="1" x14ac:dyDescent="0.4">
      <c r="A101" s="3" t="str">
        <f t="shared" si="5"/>
        <v>政治系</v>
      </c>
      <c r="B101" s="3" t="str">
        <f>"葉浩"</f>
        <v>葉浩</v>
      </c>
      <c r="C101" s="3">
        <v>1</v>
      </c>
      <c r="D101" s="3"/>
      <c r="E101" s="3"/>
      <c r="F101" s="3"/>
      <c r="G101" s="3"/>
    </row>
    <row r="102" spans="1:7" hidden="1" x14ac:dyDescent="0.4">
      <c r="A102" s="3" t="str">
        <f t="shared" si="5"/>
        <v>政治系</v>
      </c>
      <c r="B102" s="3" t="str">
        <f>"蔡中民"</f>
        <v>蔡中民</v>
      </c>
      <c r="C102" s="3">
        <v>1</v>
      </c>
      <c r="D102" s="3"/>
      <c r="E102" s="3"/>
      <c r="F102" s="3"/>
      <c r="G102" s="3"/>
    </row>
    <row r="103" spans="1:7" hidden="1" x14ac:dyDescent="0.4">
      <c r="A103" s="1" t="str">
        <f t="shared" si="5"/>
        <v>政治系</v>
      </c>
      <c r="B103" s="1" t="str">
        <f>"陳陸輝"</f>
        <v>陳陸輝</v>
      </c>
    </row>
    <row r="104" spans="1:7" hidden="1" x14ac:dyDescent="0.4">
      <c r="A104" s="3" t="str">
        <f t="shared" si="5"/>
        <v>政治系</v>
      </c>
      <c r="B104" s="3" t="str">
        <f>"林超琦"</f>
        <v>林超琦</v>
      </c>
      <c r="C104" s="3">
        <v>1</v>
      </c>
      <c r="D104" s="3"/>
      <c r="E104" s="3"/>
      <c r="F104" s="3"/>
      <c r="G104" s="3"/>
    </row>
    <row r="105" spans="1:7" hidden="1" x14ac:dyDescent="0.4">
      <c r="A105" s="3" t="str">
        <f t="shared" si="5"/>
        <v>政治系</v>
      </c>
      <c r="B105" s="3" t="str">
        <f>"湯京平"</f>
        <v>湯京平</v>
      </c>
      <c r="C105" s="3">
        <v>1</v>
      </c>
      <c r="D105" s="3"/>
      <c r="E105" s="3"/>
      <c r="F105" s="3"/>
      <c r="G105" s="3"/>
    </row>
    <row r="106" spans="1:7" hidden="1" x14ac:dyDescent="0.4">
      <c r="A106" s="3" t="str">
        <f t="shared" si="5"/>
        <v>政治系</v>
      </c>
      <c r="B106" s="3" t="str">
        <f>"翁燕菁"</f>
        <v>翁燕菁</v>
      </c>
      <c r="C106" s="3">
        <v>1</v>
      </c>
      <c r="D106" s="3"/>
      <c r="E106" s="3"/>
      <c r="F106" s="3"/>
      <c r="G106" s="3"/>
    </row>
    <row r="107" spans="1:7" hidden="1" x14ac:dyDescent="0.4">
      <c r="A107" s="3" t="str">
        <f t="shared" si="5"/>
        <v>政治系</v>
      </c>
      <c r="B107" s="3" t="str">
        <f>"陳建綱"</f>
        <v>陳建綱</v>
      </c>
      <c r="C107" s="3">
        <v>1</v>
      </c>
      <c r="D107" s="3"/>
      <c r="E107" s="3"/>
      <c r="F107" s="3"/>
      <c r="G107" s="3"/>
    </row>
    <row r="108" spans="1:7" hidden="1" x14ac:dyDescent="0.4">
      <c r="A108" s="3" t="str">
        <f t="shared" si="5"/>
        <v>政治系</v>
      </c>
      <c r="B108" s="3" t="str">
        <f>"周家瑜"</f>
        <v>周家瑜</v>
      </c>
      <c r="C108" s="3">
        <v>1</v>
      </c>
      <c r="D108" s="3"/>
      <c r="E108" s="3"/>
      <c r="F108" s="3"/>
      <c r="G108" s="3"/>
    </row>
    <row r="109" spans="1:7" hidden="1" x14ac:dyDescent="0.4">
      <c r="A109" s="3" t="str">
        <f t="shared" si="5"/>
        <v>政治系</v>
      </c>
      <c r="B109" s="3" t="str">
        <f>"張其賢"</f>
        <v>張其賢</v>
      </c>
      <c r="C109" s="3">
        <v>1</v>
      </c>
      <c r="D109" s="3"/>
      <c r="E109" s="3"/>
      <c r="F109" s="3"/>
      <c r="G109" s="3"/>
    </row>
    <row r="110" spans="1:7" hidden="1" x14ac:dyDescent="0.4">
      <c r="A110" s="3" t="str">
        <f t="shared" si="5"/>
        <v>政治系</v>
      </c>
      <c r="B110" s="3" t="str">
        <f>"錢宜群"</f>
        <v>錢宜群</v>
      </c>
      <c r="C110" s="3">
        <v>1</v>
      </c>
      <c r="D110" s="3"/>
      <c r="E110" s="3"/>
      <c r="F110" s="3"/>
      <c r="G110" s="3"/>
    </row>
    <row r="111" spans="1:7" hidden="1" x14ac:dyDescent="0.4">
      <c r="A111" s="1" t="str">
        <f t="shared" ref="A111:A122" si="6">"外交系"</f>
        <v>外交系</v>
      </c>
      <c r="B111" s="1" t="str">
        <f>"郭昕光"</f>
        <v>郭昕光</v>
      </c>
    </row>
    <row r="112" spans="1:7" hidden="1" x14ac:dyDescent="0.4">
      <c r="A112" s="3" t="str">
        <f t="shared" si="6"/>
        <v>外交系</v>
      </c>
      <c r="B112" s="3" t="str">
        <f>"李佳怡"</f>
        <v>李佳怡</v>
      </c>
      <c r="C112" s="3">
        <v>2</v>
      </c>
      <c r="D112" s="3" t="s">
        <v>44</v>
      </c>
      <c r="E112" s="3" t="s">
        <v>51</v>
      </c>
      <c r="F112" s="3">
        <v>4</v>
      </c>
      <c r="G112" s="3"/>
    </row>
    <row r="113" spans="1:7" hidden="1" x14ac:dyDescent="0.4">
      <c r="A113" s="3" t="str">
        <f t="shared" si="6"/>
        <v>外交系</v>
      </c>
      <c r="B113" s="3" t="str">
        <f>"吳崇涵"</f>
        <v>吳崇涵</v>
      </c>
      <c r="C113" s="3">
        <v>1</v>
      </c>
      <c r="D113" s="3"/>
      <c r="E113" s="3"/>
      <c r="F113" s="3"/>
      <c r="G113" s="3"/>
    </row>
    <row r="114" spans="1:7" hidden="1" x14ac:dyDescent="0.4">
      <c r="A114" s="3" t="str">
        <f t="shared" si="6"/>
        <v>外交系</v>
      </c>
      <c r="B114" s="3" t="str">
        <f>"蘇卓馨"</f>
        <v>蘇卓馨</v>
      </c>
      <c r="C114" s="3">
        <v>1</v>
      </c>
      <c r="D114" s="3"/>
      <c r="E114" s="3"/>
      <c r="F114" s="3"/>
      <c r="G114" s="3"/>
    </row>
    <row r="115" spans="1:7" hidden="1" x14ac:dyDescent="0.4">
      <c r="A115" s="3" t="str">
        <f t="shared" si="6"/>
        <v>外交系</v>
      </c>
      <c r="B115" s="3" t="str">
        <f>"楊文琪"</f>
        <v>楊文琪</v>
      </c>
      <c r="C115" s="3">
        <v>1</v>
      </c>
      <c r="D115" s="3"/>
      <c r="E115" s="3"/>
      <c r="F115" s="3"/>
      <c r="G115" s="3"/>
    </row>
    <row r="116" spans="1:7" hidden="1" x14ac:dyDescent="0.4">
      <c r="A116" s="3" t="str">
        <f t="shared" si="6"/>
        <v>外交系</v>
      </c>
      <c r="B116" s="3" t="str">
        <f>"馮慕文"</f>
        <v>馮慕文</v>
      </c>
      <c r="C116" s="3">
        <v>2</v>
      </c>
      <c r="D116" s="3" t="s">
        <v>52</v>
      </c>
      <c r="E116" s="3" t="s">
        <v>53</v>
      </c>
      <c r="F116" s="3">
        <v>4</v>
      </c>
      <c r="G116" s="3"/>
    </row>
    <row r="117" spans="1:7" hidden="1" x14ac:dyDescent="0.4">
      <c r="A117" s="1" t="str">
        <f t="shared" si="6"/>
        <v>外交系</v>
      </c>
      <c r="B117" s="1" t="str">
        <f>"張文揚"</f>
        <v>張文揚</v>
      </c>
    </row>
    <row r="118" spans="1:7" hidden="1" x14ac:dyDescent="0.4">
      <c r="A118" s="1" t="str">
        <f t="shared" si="6"/>
        <v>外交系</v>
      </c>
      <c r="B118" s="1" t="str">
        <f>"黃奎博"</f>
        <v>黃奎博</v>
      </c>
    </row>
    <row r="119" spans="1:7" hidden="1" x14ac:dyDescent="0.4">
      <c r="A119" s="3" t="str">
        <f t="shared" si="6"/>
        <v>外交系</v>
      </c>
      <c r="B119" s="3" t="str">
        <f>"陳秉逵"</f>
        <v>陳秉逵</v>
      </c>
      <c r="C119" s="3">
        <v>2</v>
      </c>
      <c r="D119" s="3" t="s">
        <v>47</v>
      </c>
      <c r="E119" s="3" t="s">
        <v>48</v>
      </c>
      <c r="F119" s="3">
        <v>4</v>
      </c>
      <c r="G119" s="3"/>
    </row>
    <row r="120" spans="1:7" hidden="1" x14ac:dyDescent="0.4">
      <c r="A120" s="3" t="str">
        <f t="shared" si="6"/>
        <v>外交系</v>
      </c>
      <c r="B120" s="3" t="str">
        <f>"陳純一"</f>
        <v>陳純一</v>
      </c>
      <c r="C120" s="3">
        <v>1</v>
      </c>
      <c r="D120" s="3"/>
      <c r="E120" s="3"/>
      <c r="F120" s="3"/>
      <c r="G120" s="3"/>
    </row>
    <row r="121" spans="1:7" hidden="1" x14ac:dyDescent="0.4">
      <c r="A121" s="1" t="str">
        <f t="shared" si="6"/>
        <v>外交系</v>
      </c>
      <c r="B121" s="1" t="str">
        <f>"盧業中"</f>
        <v>盧業中</v>
      </c>
    </row>
    <row r="122" spans="1:7" hidden="1" x14ac:dyDescent="0.4">
      <c r="A122" s="3" t="str">
        <f t="shared" si="6"/>
        <v>外交系</v>
      </c>
      <c r="B122" s="3" t="str">
        <f>"連弘宜"</f>
        <v>連弘宜</v>
      </c>
      <c r="C122" s="3">
        <v>2</v>
      </c>
      <c r="D122" s="3" t="s">
        <v>49</v>
      </c>
      <c r="E122" s="3" t="s">
        <v>50</v>
      </c>
      <c r="F122" s="3">
        <v>4</v>
      </c>
      <c r="G122" s="3"/>
    </row>
    <row r="123" spans="1:7" hidden="1" x14ac:dyDescent="0.4">
      <c r="A123" s="3" t="str">
        <f t="shared" ref="A123:A133" si="7">"社會系"</f>
        <v>社會系</v>
      </c>
      <c r="B123" s="3" t="str">
        <f>"陳人豪"</f>
        <v>陳人豪</v>
      </c>
      <c r="C123" s="3">
        <v>3</v>
      </c>
      <c r="D123" s="3" t="s">
        <v>65</v>
      </c>
      <c r="E123" s="3"/>
      <c r="F123" s="3">
        <v>4</v>
      </c>
      <c r="G123" s="3"/>
    </row>
    <row r="124" spans="1:7" hidden="1" x14ac:dyDescent="0.4">
      <c r="A124" s="3" t="str">
        <f t="shared" si="7"/>
        <v>社會系</v>
      </c>
      <c r="B124" s="3" t="str">
        <f>"苗延威"</f>
        <v>苗延威</v>
      </c>
      <c r="C124" s="3">
        <v>3</v>
      </c>
      <c r="D124" s="3" t="s">
        <v>64</v>
      </c>
      <c r="E124" s="3"/>
      <c r="F124" s="3">
        <v>4</v>
      </c>
      <c r="G124" s="3"/>
    </row>
    <row r="125" spans="1:7" hidden="1" x14ac:dyDescent="0.4">
      <c r="A125" s="3" t="str">
        <f t="shared" si="7"/>
        <v>社會系</v>
      </c>
      <c r="B125" s="3" t="str">
        <f>"黃厚銘"</f>
        <v>黃厚銘</v>
      </c>
      <c r="C125" s="3">
        <v>3</v>
      </c>
      <c r="D125" s="3" t="s">
        <v>60</v>
      </c>
      <c r="E125" s="3"/>
      <c r="F125" s="3">
        <v>4</v>
      </c>
      <c r="G125" s="3"/>
    </row>
    <row r="126" spans="1:7" hidden="1" x14ac:dyDescent="0.4">
      <c r="A126" s="3" t="str">
        <f t="shared" si="7"/>
        <v>社會系</v>
      </c>
      <c r="B126" s="3" t="str">
        <f>"洪儀真"</f>
        <v>洪儀真</v>
      </c>
      <c r="C126" s="3">
        <v>3</v>
      </c>
      <c r="D126" s="3" t="s">
        <v>57</v>
      </c>
      <c r="E126" s="3"/>
      <c r="F126" s="3">
        <v>4</v>
      </c>
      <c r="G126" s="3" t="s">
        <v>58</v>
      </c>
    </row>
    <row r="127" spans="1:7" hidden="1" x14ac:dyDescent="0.4">
      <c r="A127" s="3" t="str">
        <f t="shared" si="7"/>
        <v>社會系</v>
      </c>
      <c r="B127" s="3" t="str">
        <f>"馬藹萱"</f>
        <v>馬藹萱</v>
      </c>
      <c r="C127" s="3">
        <v>3</v>
      </c>
      <c r="D127" s="3" t="s">
        <v>55</v>
      </c>
      <c r="E127" s="3"/>
      <c r="F127" s="3">
        <v>4</v>
      </c>
      <c r="G127" s="3"/>
    </row>
    <row r="128" spans="1:7" hidden="1" x14ac:dyDescent="0.4">
      <c r="A128" s="3" t="str">
        <f t="shared" si="7"/>
        <v>社會系</v>
      </c>
      <c r="B128" s="3" t="str">
        <f>"陳信木"</f>
        <v>陳信木</v>
      </c>
      <c r="C128" s="3">
        <v>3</v>
      </c>
      <c r="D128" s="3" t="s">
        <v>62</v>
      </c>
      <c r="E128" s="3"/>
      <c r="F128" s="3">
        <v>4</v>
      </c>
      <c r="G128" s="3"/>
    </row>
    <row r="129" spans="1:7" hidden="1" x14ac:dyDescent="0.4">
      <c r="A129" s="3" t="str">
        <f t="shared" si="7"/>
        <v>社會系</v>
      </c>
      <c r="B129" s="3" t="str">
        <f>"姜以琳"</f>
        <v>姜以琳</v>
      </c>
      <c r="C129" s="3">
        <v>3</v>
      </c>
      <c r="D129" s="3" t="s">
        <v>56</v>
      </c>
      <c r="E129" s="3"/>
      <c r="F129" s="3">
        <v>4</v>
      </c>
      <c r="G129" s="3"/>
    </row>
    <row r="130" spans="1:7" hidden="1" x14ac:dyDescent="0.4">
      <c r="A130" s="3" t="str">
        <f t="shared" si="7"/>
        <v>社會系</v>
      </c>
      <c r="B130" s="3" t="str">
        <f>"張峯彬"</f>
        <v>張峯彬</v>
      </c>
      <c r="C130" s="3">
        <v>3</v>
      </c>
      <c r="D130" s="3" t="s">
        <v>59</v>
      </c>
      <c r="E130" s="3"/>
      <c r="F130" s="3">
        <v>4</v>
      </c>
      <c r="G130" s="3"/>
    </row>
    <row r="131" spans="1:7" hidden="1" x14ac:dyDescent="0.4">
      <c r="A131" s="3" t="str">
        <f t="shared" si="7"/>
        <v>社會系</v>
      </c>
      <c r="B131" s="3" t="str">
        <f>"胡力中"</f>
        <v>胡力中</v>
      </c>
      <c r="C131" s="3">
        <v>3</v>
      </c>
      <c r="D131" s="3" t="s">
        <v>63</v>
      </c>
      <c r="E131" s="3"/>
      <c r="F131" s="3">
        <v>4</v>
      </c>
      <c r="G131" s="3"/>
    </row>
    <row r="132" spans="1:7" hidden="1" x14ac:dyDescent="0.4">
      <c r="A132" s="3" t="str">
        <f t="shared" si="7"/>
        <v>社會系</v>
      </c>
      <c r="B132" s="3" t="str">
        <f>"鄭力軒"</f>
        <v>鄭力軒</v>
      </c>
      <c r="C132" s="3">
        <v>3</v>
      </c>
      <c r="D132" s="3" t="s">
        <v>61</v>
      </c>
      <c r="E132" s="3"/>
      <c r="F132" s="3">
        <v>4</v>
      </c>
      <c r="G132" s="3"/>
    </row>
    <row r="133" spans="1:7" hidden="1" x14ac:dyDescent="0.4">
      <c r="A133" s="3" t="str">
        <f t="shared" si="7"/>
        <v>社會系</v>
      </c>
      <c r="B133" s="3" t="str">
        <f>"陳宗文"</f>
        <v>陳宗文</v>
      </c>
      <c r="C133" s="3">
        <v>3</v>
      </c>
      <c r="D133" s="3" t="s">
        <v>54</v>
      </c>
      <c r="E133" s="3"/>
      <c r="F133" s="3">
        <v>4</v>
      </c>
      <c r="G133" s="3"/>
    </row>
    <row r="134" spans="1:7" hidden="1" x14ac:dyDescent="0.4">
      <c r="A134" s="3" t="str">
        <f t="shared" ref="A134:A150" si="8">"財政系"</f>
        <v>財政系</v>
      </c>
      <c r="B134" s="3" t="str">
        <f>"周德宇"</f>
        <v>周德宇</v>
      </c>
      <c r="C134" s="3">
        <v>1</v>
      </c>
      <c r="D134" s="3"/>
      <c r="E134" s="3"/>
      <c r="F134" s="3"/>
      <c r="G134" s="3"/>
    </row>
    <row r="135" spans="1:7" hidden="1" x14ac:dyDescent="0.4">
      <c r="A135" s="3" t="str">
        <f t="shared" si="8"/>
        <v>財政系</v>
      </c>
      <c r="B135" s="3" t="str">
        <f>"彭喜樞"</f>
        <v>彭喜樞</v>
      </c>
      <c r="C135" s="3">
        <v>1</v>
      </c>
      <c r="D135" s="3"/>
      <c r="E135" s="3"/>
      <c r="F135" s="3"/>
      <c r="G135" s="3"/>
    </row>
    <row r="136" spans="1:7" hidden="1" x14ac:dyDescent="0.4">
      <c r="A136" s="3" t="str">
        <f t="shared" si="8"/>
        <v>財政系</v>
      </c>
      <c r="B136" s="3" t="str">
        <f>"周麗芳"</f>
        <v>周麗芳</v>
      </c>
      <c r="C136" s="3">
        <v>1</v>
      </c>
      <c r="D136" s="3"/>
      <c r="E136" s="3"/>
      <c r="F136" s="3"/>
      <c r="G136" s="3"/>
    </row>
    <row r="137" spans="1:7" hidden="1" x14ac:dyDescent="0.4">
      <c r="A137" s="3" t="str">
        <f t="shared" si="8"/>
        <v>財政系</v>
      </c>
      <c r="B137" s="3" t="str">
        <f>"傅健豪"</f>
        <v>傅健豪</v>
      </c>
      <c r="C137" s="3">
        <v>1</v>
      </c>
      <c r="D137" s="3"/>
      <c r="E137" s="3"/>
      <c r="F137" s="3"/>
      <c r="G137" s="3"/>
    </row>
    <row r="138" spans="1:7" hidden="1" x14ac:dyDescent="0.4">
      <c r="A138" s="3" t="str">
        <f t="shared" si="8"/>
        <v>財政系</v>
      </c>
      <c r="B138" s="3" t="str">
        <f>"鍾騏"</f>
        <v>鍾騏</v>
      </c>
      <c r="C138" s="3">
        <v>1</v>
      </c>
      <c r="D138" s="3"/>
      <c r="E138" s="3"/>
      <c r="F138" s="3"/>
      <c r="G138" s="3"/>
    </row>
    <row r="139" spans="1:7" hidden="1" x14ac:dyDescent="0.4">
      <c r="A139" s="3" t="str">
        <f t="shared" si="8"/>
        <v>財政系</v>
      </c>
      <c r="B139" s="3" t="str">
        <f>"徐麗振"</f>
        <v>徐麗振</v>
      </c>
      <c r="C139" s="3">
        <v>1</v>
      </c>
      <c r="D139" s="3"/>
      <c r="E139" s="3"/>
      <c r="F139" s="3"/>
      <c r="G139" s="3"/>
    </row>
    <row r="140" spans="1:7" hidden="1" x14ac:dyDescent="0.4">
      <c r="A140" s="3" t="str">
        <f t="shared" si="8"/>
        <v>財政系</v>
      </c>
      <c r="B140" s="3" t="str">
        <f>"王智賢"</f>
        <v>王智賢</v>
      </c>
      <c r="C140" s="3">
        <v>1</v>
      </c>
      <c r="D140" s="3"/>
      <c r="E140" s="3"/>
      <c r="F140" s="3"/>
      <c r="G140" s="3"/>
    </row>
    <row r="141" spans="1:7" hidden="1" x14ac:dyDescent="0.4">
      <c r="A141" s="3" t="str">
        <f t="shared" si="8"/>
        <v>財政系</v>
      </c>
      <c r="B141" s="3" t="str">
        <f>"連賢明"</f>
        <v>連賢明</v>
      </c>
      <c r="C141" s="3">
        <v>1</v>
      </c>
      <c r="D141" s="3"/>
      <c r="E141" s="3"/>
      <c r="F141" s="3"/>
      <c r="G141" s="3"/>
    </row>
    <row r="142" spans="1:7" hidden="1" x14ac:dyDescent="0.4">
      <c r="A142" s="3" t="str">
        <f t="shared" si="8"/>
        <v>財政系</v>
      </c>
      <c r="B142" s="3" t="str">
        <f>"黃智聰"</f>
        <v>黃智聰</v>
      </c>
      <c r="C142" s="3">
        <v>1</v>
      </c>
      <c r="D142" s="3"/>
      <c r="E142" s="3"/>
      <c r="F142" s="3"/>
      <c r="G142" s="3"/>
    </row>
    <row r="143" spans="1:7" hidden="1" x14ac:dyDescent="0.4">
      <c r="A143" s="3" t="str">
        <f t="shared" si="8"/>
        <v>財政系</v>
      </c>
      <c r="B143" s="3" t="str">
        <f>"陳國樑"</f>
        <v>陳國樑</v>
      </c>
      <c r="C143" s="3">
        <v>1</v>
      </c>
      <c r="D143" s="3"/>
      <c r="E143" s="3"/>
      <c r="F143" s="3"/>
      <c r="G143" s="3"/>
    </row>
    <row r="144" spans="1:7" hidden="1" x14ac:dyDescent="0.4">
      <c r="A144" s="3" t="str">
        <f t="shared" si="8"/>
        <v>財政系</v>
      </c>
      <c r="B144" s="3" t="str">
        <f>"羅光達"</f>
        <v>羅光達</v>
      </c>
      <c r="C144" s="3">
        <v>1</v>
      </c>
      <c r="D144" s="3"/>
      <c r="E144" s="3"/>
      <c r="F144" s="3"/>
      <c r="G144" s="3"/>
    </row>
    <row r="145" spans="1:7" hidden="1" x14ac:dyDescent="0.4">
      <c r="A145" s="3" t="str">
        <f t="shared" si="8"/>
        <v>財政系</v>
      </c>
      <c r="B145" s="3" t="str">
        <f>"陳香梅"</f>
        <v>陳香梅</v>
      </c>
      <c r="C145" s="3">
        <v>1</v>
      </c>
      <c r="D145" s="3"/>
      <c r="E145" s="3"/>
      <c r="F145" s="3"/>
      <c r="G145" s="3"/>
    </row>
    <row r="146" spans="1:7" hidden="1" x14ac:dyDescent="0.4">
      <c r="A146" s="3" t="str">
        <f t="shared" si="8"/>
        <v>財政系</v>
      </c>
      <c r="B146" s="3" t="str">
        <f>"吳文傑"</f>
        <v>吳文傑</v>
      </c>
      <c r="C146" s="3">
        <v>1</v>
      </c>
      <c r="D146" s="3"/>
      <c r="E146" s="3"/>
      <c r="F146" s="3"/>
      <c r="G146" s="3"/>
    </row>
    <row r="147" spans="1:7" hidden="1" x14ac:dyDescent="0.4">
      <c r="A147" s="3" t="str">
        <f t="shared" si="8"/>
        <v>財政系</v>
      </c>
      <c r="B147" s="3" t="str">
        <f>"胡偉民"</f>
        <v>胡偉民</v>
      </c>
      <c r="C147" s="3">
        <v>1</v>
      </c>
      <c r="D147" s="3"/>
      <c r="E147" s="3"/>
      <c r="F147" s="3"/>
      <c r="G147" s="3"/>
    </row>
    <row r="148" spans="1:7" hidden="1" x14ac:dyDescent="0.4">
      <c r="A148" s="3" t="str">
        <f t="shared" si="8"/>
        <v>財政系</v>
      </c>
      <c r="B148" s="3" t="str">
        <f>"翁堃嵐"</f>
        <v>翁堃嵐</v>
      </c>
      <c r="C148" s="3">
        <v>1</v>
      </c>
      <c r="D148" s="3"/>
      <c r="E148" s="3"/>
      <c r="F148" s="3"/>
      <c r="G148" s="3"/>
    </row>
    <row r="149" spans="1:7" hidden="1" x14ac:dyDescent="0.4">
      <c r="A149" s="3" t="str">
        <f t="shared" si="8"/>
        <v>財政系</v>
      </c>
      <c r="B149" s="3" t="str">
        <f>"朱琇妍"</f>
        <v>朱琇妍</v>
      </c>
      <c r="C149" s="3">
        <v>1</v>
      </c>
      <c r="D149" s="3"/>
      <c r="E149" s="3"/>
      <c r="F149" s="3"/>
      <c r="G149" s="3"/>
    </row>
    <row r="150" spans="1:7" hidden="1" x14ac:dyDescent="0.4">
      <c r="A150" s="3" t="str">
        <f t="shared" si="8"/>
        <v>財政系</v>
      </c>
      <c r="B150" s="3" t="str">
        <f>"賴育邦"</f>
        <v>賴育邦</v>
      </c>
      <c r="C150" s="3">
        <v>1</v>
      </c>
      <c r="D150" s="3"/>
      <c r="E150" s="3"/>
      <c r="F150" s="3"/>
      <c r="G150" s="3"/>
    </row>
    <row r="151" spans="1:7" hidden="1" x14ac:dyDescent="0.4">
      <c r="A151" s="1" t="str">
        <f t="shared" ref="A151:A163" si="9">"公行系"</f>
        <v>公行系</v>
      </c>
      <c r="B151" s="1" t="str">
        <f>"蕭乃沂"</f>
        <v>蕭乃沂</v>
      </c>
    </row>
    <row r="152" spans="1:7" hidden="1" x14ac:dyDescent="0.4">
      <c r="A152" s="1" t="str">
        <f t="shared" si="9"/>
        <v>公行系</v>
      </c>
      <c r="B152" s="1" t="str">
        <f>"江明修"</f>
        <v>江明修</v>
      </c>
    </row>
    <row r="153" spans="1:7" hidden="1" x14ac:dyDescent="0.4">
      <c r="A153" s="1" t="str">
        <f t="shared" si="9"/>
        <v>公行系</v>
      </c>
      <c r="B153" s="1" t="str">
        <f>"施能傑"</f>
        <v>施能傑</v>
      </c>
    </row>
    <row r="154" spans="1:7" hidden="1" x14ac:dyDescent="0.4">
      <c r="A154" s="1" t="str">
        <f t="shared" si="9"/>
        <v>公行系</v>
      </c>
      <c r="B154" s="1" t="str">
        <f>"陳敦源"</f>
        <v>陳敦源</v>
      </c>
    </row>
    <row r="155" spans="1:7" hidden="1" x14ac:dyDescent="0.4">
      <c r="A155" s="1" t="str">
        <f t="shared" si="9"/>
        <v>公行系</v>
      </c>
      <c r="B155" s="1" t="str">
        <f>"黃東益"</f>
        <v>黃東益</v>
      </c>
    </row>
    <row r="156" spans="1:7" hidden="1" x14ac:dyDescent="0.4">
      <c r="A156" s="1" t="str">
        <f t="shared" si="9"/>
        <v>公行系</v>
      </c>
      <c r="B156" s="1" t="str">
        <f>"莊國榮"</f>
        <v>莊國榮</v>
      </c>
    </row>
    <row r="157" spans="1:7" hidden="1" x14ac:dyDescent="0.4">
      <c r="A157" s="1" t="str">
        <f t="shared" si="9"/>
        <v>公行系</v>
      </c>
      <c r="B157" s="1" t="str">
        <f>"傅凱若"</f>
        <v>傅凱若</v>
      </c>
    </row>
    <row r="158" spans="1:7" hidden="1" x14ac:dyDescent="0.4">
      <c r="A158" s="1" t="str">
        <f t="shared" si="9"/>
        <v>公行系</v>
      </c>
      <c r="B158" s="1" t="str">
        <f>"張鎧如"</f>
        <v>張鎧如</v>
      </c>
    </row>
    <row r="159" spans="1:7" hidden="1" x14ac:dyDescent="0.4">
      <c r="A159" s="1" t="str">
        <f t="shared" si="9"/>
        <v>公行系</v>
      </c>
      <c r="B159" s="1" t="str">
        <f>"董祥開"</f>
        <v>董祥開</v>
      </c>
    </row>
    <row r="160" spans="1:7" hidden="1" x14ac:dyDescent="0.4">
      <c r="A160" s="1" t="str">
        <f t="shared" si="9"/>
        <v>公行系</v>
      </c>
      <c r="B160" s="1" t="str">
        <f>"廖興中"</f>
        <v>廖興中</v>
      </c>
    </row>
    <row r="161" spans="1:2" hidden="1" x14ac:dyDescent="0.4">
      <c r="A161" s="1" t="str">
        <f t="shared" si="9"/>
        <v>公行系</v>
      </c>
      <c r="B161" s="1" t="str">
        <f>"王慧敏"</f>
        <v>王慧敏</v>
      </c>
    </row>
    <row r="162" spans="1:2" hidden="1" x14ac:dyDescent="0.4">
      <c r="A162" s="1" t="str">
        <f t="shared" si="9"/>
        <v>公行系</v>
      </c>
      <c r="B162" s="1" t="str">
        <f>"朱斌妤"</f>
        <v>朱斌妤</v>
      </c>
    </row>
    <row r="163" spans="1:2" hidden="1" x14ac:dyDescent="0.4">
      <c r="A163" s="1" t="str">
        <f t="shared" si="9"/>
        <v>公行系</v>
      </c>
      <c r="B163" s="1" t="str">
        <f>"謝文琪"</f>
        <v>謝文琪</v>
      </c>
    </row>
    <row r="164" spans="1:2" hidden="1" x14ac:dyDescent="0.4">
      <c r="A164" s="1" t="str">
        <f t="shared" ref="A164:A183" si="10">"地政系"</f>
        <v>地政系</v>
      </c>
      <c r="B164" s="1" t="str">
        <f>"陳奉瑤"</f>
        <v>陳奉瑤</v>
      </c>
    </row>
    <row r="165" spans="1:2" hidden="1" x14ac:dyDescent="0.4">
      <c r="A165" s="1" t="str">
        <f t="shared" si="10"/>
        <v>地政系</v>
      </c>
      <c r="B165" s="1" t="str">
        <f>"江穎慧"</f>
        <v>江穎慧</v>
      </c>
    </row>
    <row r="166" spans="1:2" hidden="1" x14ac:dyDescent="0.4">
      <c r="A166" s="1" t="str">
        <f t="shared" si="10"/>
        <v>地政系</v>
      </c>
      <c r="B166" s="1" t="str">
        <f>"孫振義"</f>
        <v>孫振義</v>
      </c>
    </row>
    <row r="167" spans="1:2" hidden="1" x14ac:dyDescent="0.4">
      <c r="A167" s="1" t="str">
        <f t="shared" si="10"/>
        <v>地政系</v>
      </c>
      <c r="B167" s="1" t="str">
        <f>"鄭安廷"</f>
        <v>鄭安廷</v>
      </c>
    </row>
    <row r="168" spans="1:2" hidden="1" x14ac:dyDescent="0.4">
      <c r="A168" s="1" t="str">
        <f t="shared" si="10"/>
        <v>地政系</v>
      </c>
      <c r="B168" s="1" t="str">
        <f>"邱式鴻"</f>
        <v>邱式鴻</v>
      </c>
    </row>
    <row r="169" spans="1:2" hidden="1" x14ac:dyDescent="0.4">
      <c r="A169" s="1" t="str">
        <f t="shared" si="10"/>
        <v>地政系</v>
      </c>
      <c r="B169" s="1" t="str">
        <f>"范噶色"</f>
        <v>范噶色</v>
      </c>
    </row>
    <row r="170" spans="1:2" hidden="1" x14ac:dyDescent="0.4">
      <c r="A170" s="1" t="str">
        <f t="shared" si="10"/>
        <v>地政系</v>
      </c>
      <c r="B170" s="1" t="str">
        <f>"戴秀雄"</f>
        <v>戴秀雄</v>
      </c>
    </row>
    <row r="171" spans="1:2" hidden="1" x14ac:dyDescent="0.4">
      <c r="A171" s="1" t="str">
        <f t="shared" si="10"/>
        <v>地政系</v>
      </c>
      <c r="B171" s="1" t="str">
        <f>"朱芳妮"</f>
        <v>朱芳妮</v>
      </c>
    </row>
    <row r="172" spans="1:2" hidden="1" x14ac:dyDescent="0.4">
      <c r="A172" s="1" t="str">
        <f t="shared" si="10"/>
        <v>地政系</v>
      </c>
      <c r="B172" s="1" t="str">
        <f>"蔡育新"</f>
        <v>蔡育新</v>
      </c>
    </row>
    <row r="173" spans="1:2" hidden="1" x14ac:dyDescent="0.4">
      <c r="A173" s="1" t="str">
        <f t="shared" si="10"/>
        <v>地政系</v>
      </c>
      <c r="B173" s="1" t="str">
        <f>"甯方璽"</f>
        <v>甯方璽</v>
      </c>
    </row>
    <row r="174" spans="1:2" hidden="1" x14ac:dyDescent="0.4">
      <c r="A174" s="1" t="str">
        <f t="shared" si="10"/>
        <v>地政系</v>
      </c>
      <c r="B174" s="1" t="str">
        <f>"儲豐宥"</f>
        <v>儲豐宥</v>
      </c>
    </row>
    <row r="175" spans="1:2" hidden="1" x14ac:dyDescent="0.4">
      <c r="A175" s="1" t="str">
        <f t="shared" si="10"/>
        <v>地政系</v>
      </c>
      <c r="B175" s="1" t="str">
        <f>"林左裕"</f>
        <v>林左裕</v>
      </c>
    </row>
    <row r="176" spans="1:2" hidden="1" x14ac:dyDescent="0.4">
      <c r="A176" s="1" t="str">
        <f t="shared" si="10"/>
        <v>地政系</v>
      </c>
      <c r="B176" s="1" t="str">
        <f>"丁秀吟"</f>
        <v>丁秀吟</v>
      </c>
    </row>
    <row r="177" spans="1:7" hidden="1" x14ac:dyDescent="0.4">
      <c r="A177" s="1" t="str">
        <f t="shared" si="10"/>
        <v>地政系</v>
      </c>
      <c r="B177" s="1" t="str">
        <f>"徐世榮"</f>
        <v>徐世榮</v>
      </c>
    </row>
    <row r="178" spans="1:7" hidden="1" x14ac:dyDescent="0.4">
      <c r="A178" s="1" t="str">
        <f t="shared" si="10"/>
        <v>地政系</v>
      </c>
      <c r="B178" s="1" t="str">
        <f>"詹進發"</f>
        <v>詹進發</v>
      </c>
    </row>
    <row r="179" spans="1:7" hidden="1" x14ac:dyDescent="0.4">
      <c r="A179" s="1" t="str">
        <f t="shared" si="10"/>
        <v>地政系</v>
      </c>
      <c r="B179" s="1" t="str">
        <f>"林子欽"</f>
        <v>林子欽</v>
      </c>
    </row>
    <row r="180" spans="1:7" hidden="1" x14ac:dyDescent="0.4">
      <c r="A180" s="1" t="str">
        <f t="shared" si="10"/>
        <v>地政系</v>
      </c>
      <c r="B180" s="1" t="str">
        <f>"李明芝"</f>
        <v>李明芝</v>
      </c>
    </row>
    <row r="181" spans="1:7" hidden="1" x14ac:dyDescent="0.4">
      <c r="A181" s="1" t="str">
        <f t="shared" si="10"/>
        <v>地政系</v>
      </c>
      <c r="B181" s="1" t="str">
        <f>"林士淵"</f>
        <v>林士淵</v>
      </c>
    </row>
    <row r="182" spans="1:7" hidden="1" x14ac:dyDescent="0.4">
      <c r="A182" s="1" t="str">
        <f t="shared" si="10"/>
        <v>地政系</v>
      </c>
      <c r="B182" s="1" t="str">
        <f>"吳秀明"</f>
        <v>吳秀明</v>
      </c>
    </row>
    <row r="183" spans="1:7" hidden="1" x14ac:dyDescent="0.4">
      <c r="A183" s="1" t="str">
        <f t="shared" si="10"/>
        <v>地政系</v>
      </c>
      <c r="B183" s="1" t="str">
        <f>"白仁德"</f>
        <v>白仁德</v>
      </c>
    </row>
    <row r="184" spans="1:7" hidden="1" x14ac:dyDescent="0.4">
      <c r="A184" s="1" t="str">
        <f t="shared" ref="A184:A202" si="11">"經濟系"</f>
        <v>經濟系</v>
      </c>
      <c r="B184" s="1" t="str">
        <f>"廖郁萍"</f>
        <v>廖郁萍</v>
      </c>
    </row>
    <row r="185" spans="1:7" hidden="1" x14ac:dyDescent="0.4">
      <c r="A185" s="1" t="str">
        <f t="shared" si="11"/>
        <v>經濟系</v>
      </c>
      <c r="B185" s="1" t="str">
        <f>"陳樹衡"</f>
        <v>陳樹衡</v>
      </c>
    </row>
    <row r="186" spans="1:7" hidden="1" x14ac:dyDescent="0.4">
      <c r="A186" s="1" t="str">
        <f t="shared" si="11"/>
        <v>經濟系</v>
      </c>
      <c r="B186" s="1" t="str">
        <f>"蕭明福"</f>
        <v>蕭明福</v>
      </c>
    </row>
    <row r="187" spans="1:7" hidden="1" x14ac:dyDescent="0.4">
      <c r="A187" s="1" t="str">
        <f t="shared" si="11"/>
        <v>經濟系</v>
      </c>
      <c r="B187" s="1" t="str">
        <f>"方中柔"</f>
        <v>方中柔</v>
      </c>
    </row>
    <row r="188" spans="1:7" hidden="1" x14ac:dyDescent="0.4">
      <c r="A188" s="3" t="str">
        <f t="shared" si="11"/>
        <v>經濟系</v>
      </c>
      <c r="B188" s="3" t="str">
        <f>"李慧琳"</f>
        <v>李慧琳</v>
      </c>
      <c r="C188" s="3">
        <v>2</v>
      </c>
      <c r="D188" s="3"/>
      <c r="E188" s="3"/>
      <c r="F188" s="3"/>
      <c r="G188" s="3" t="s">
        <v>69</v>
      </c>
    </row>
    <row r="189" spans="1:7" hidden="1" x14ac:dyDescent="0.4">
      <c r="A189" s="1" t="str">
        <f t="shared" si="11"/>
        <v>經濟系</v>
      </c>
      <c r="B189" s="1" t="str">
        <f>"李文傑"</f>
        <v>李文傑</v>
      </c>
    </row>
    <row r="190" spans="1:7" hidden="1" x14ac:dyDescent="0.4">
      <c r="A190" s="1" t="str">
        <f t="shared" si="11"/>
        <v>經濟系</v>
      </c>
      <c r="B190" s="1" t="str">
        <f>"徐士勛"</f>
        <v>徐士勛</v>
      </c>
    </row>
    <row r="191" spans="1:7" hidden="1" x14ac:dyDescent="0.4">
      <c r="A191" s="1" t="str">
        <f t="shared" si="11"/>
        <v>經濟系</v>
      </c>
      <c r="B191" s="1" t="str">
        <f>"廖仁哲"</f>
        <v>廖仁哲</v>
      </c>
    </row>
    <row r="192" spans="1:7" hidden="1" x14ac:dyDescent="0.4">
      <c r="A192" s="1" t="str">
        <f t="shared" si="11"/>
        <v>經濟系</v>
      </c>
      <c r="B192" s="1" t="str">
        <f>"賴廷緯"</f>
        <v>賴廷緯</v>
      </c>
    </row>
    <row r="193" spans="1:7" hidden="1" x14ac:dyDescent="0.4">
      <c r="A193" s="1" t="str">
        <f t="shared" si="11"/>
        <v>經濟系</v>
      </c>
      <c r="B193" s="1" t="str">
        <f>"王信實"</f>
        <v>王信實</v>
      </c>
    </row>
    <row r="194" spans="1:7" hidden="1" x14ac:dyDescent="0.4">
      <c r="A194" s="3" t="str">
        <f t="shared" si="11"/>
        <v>經濟系</v>
      </c>
      <c r="B194" s="3" t="str">
        <f>"何靜嫺"</f>
        <v>何靜嫺</v>
      </c>
      <c r="C194" s="3">
        <v>2</v>
      </c>
      <c r="D194" s="3" t="s">
        <v>67</v>
      </c>
      <c r="E194" s="3"/>
      <c r="F194" s="3">
        <v>2</v>
      </c>
      <c r="G194" s="3"/>
    </row>
    <row r="195" spans="1:7" hidden="1" x14ac:dyDescent="0.4">
      <c r="A195" s="3" t="str">
        <f t="shared" si="11"/>
        <v>經濟系</v>
      </c>
      <c r="B195" s="3" t="str">
        <f>"黃柏鈞"</f>
        <v>黃柏鈞</v>
      </c>
      <c r="C195" s="3">
        <v>1</v>
      </c>
      <c r="D195" s="3"/>
      <c r="E195" s="3"/>
      <c r="F195" s="3"/>
      <c r="G195" s="3"/>
    </row>
    <row r="196" spans="1:7" hidden="1" x14ac:dyDescent="0.4">
      <c r="A196" s="1" t="str">
        <f t="shared" si="11"/>
        <v>經濟系</v>
      </c>
      <c r="B196" s="1" t="str">
        <f>"李浩仲"</f>
        <v>李浩仲</v>
      </c>
    </row>
    <row r="197" spans="1:7" hidden="1" x14ac:dyDescent="0.4">
      <c r="A197" s="1" t="str">
        <f t="shared" si="11"/>
        <v>經濟系</v>
      </c>
      <c r="B197" s="1" t="str">
        <f>"陳鎮洲"</f>
        <v>陳鎮洲</v>
      </c>
    </row>
    <row r="198" spans="1:7" hidden="1" x14ac:dyDescent="0.4">
      <c r="A198" s="1" t="str">
        <f t="shared" si="11"/>
        <v>經濟系</v>
      </c>
      <c r="B198" s="1" t="str">
        <f>"江品慧"</f>
        <v>江品慧</v>
      </c>
    </row>
    <row r="199" spans="1:7" hidden="1" x14ac:dyDescent="0.4">
      <c r="A199" s="1" t="str">
        <f t="shared" si="11"/>
        <v>經濟系</v>
      </c>
      <c r="B199" s="1" t="str">
        <f>"翁永和"</f>
        <v>翁永和</v>
      </c>
    </row>
    <row r="200" spans="1:7" hidden="1" x14ac:dyDescent="0.4">
      <c r="A200" s="1" t="str">
        <f t="shared" si="11"/>
        <v>經濟系</v>
      </c>
      <c r="B200" s="1" t="str">
        <f>"莊奕琦"</f>
        <v>莊奕琦</v>
      </c>
    </row>
    <row r="201" spans="1:7" hidden="1" x14ac:dyDescent="0.4">
      <c r="A201" s="1" t="str">
        <f t="shared" si="11"/>
        <v>經濟系</v>
      </c>
      <c r="B201" s="1" t="str">
        <f>"陳心蘋"</f>
        <v>陳心蘋</v>
      </c>
    </row>
    <row r="202" spans="1:7" hidden="1" x14ac:dyDescent="0.4">
      <c r="A202" s="3" t="str">
        <f t="shared" si="11"/>
        <v>經濟系</v>
      </c>
      <c r="B202" s="3" t="str">
        <f>"洪福聲"</f>
        <v>洪福聲</v>
      </c>
      <c r="C202" s="3">
        <v>2</v>
      </c>
      <c r="D202" s="3" t="s">
        <v>66</v>
      </c>
      <c r="E202" s="3"/>
      <c r="F202" s="3">
        <v>4</v>
      </c>
      <c r="G202" s="3"/>
    </row>
    <row r="203" spans="1:7" hidden="1" x14ac:dyDescent="0.4">
      <c r="A203" s="3" t="str">
        <f t="shared" ref="A203:A211" si="12">"民族系"</f>
        <v>民族系</v>
      </c>
      <c r="B203" s="3" t="str">
        <f>"趙竹成"</f>
        <v>趙竹成</v>
      </c>
      <c r="C203" s="3">
        <v>3</v>
      </c>
      <c r="D203" s="3"/>
      <c r="E203" s="3"/>
      <c r="F203" s="3"/>
      <c r="G203" s="3" t="s">
        <v>216</v>
      </c>
    </row>
    <row r="204" spans="1:7" hidden="1" x14ac:dyDescent="0.4">
      <c r="A204" s="3" t="str">
        <f t="shared" si="12"/>
        <v>民族系</v>
      </c>
      <c r="B204" s="3" t="str">
        <f>"劉子愷"</f>
        <v>劉子愷</v>
      </c>
      <c r="C204" s="3">
        <v>3</v>
      </c>
      <c r="D204" s="3" t="s">
        <v>70</v>
      </c>
      <c r="E204" s="3"/>
      <c r="F204" s="3"/>
      <c r="G204" s="3"/>
    </row>
    <row r="205" spans="1:7" hidden="1" x14ac:dyDescent="0.4">
      <c r="A205" s="1" t="str">
        <f t="shared" si="12"/>
        <v>民族系</v>
      </c>
      <c r="B205" s="1" t="str">
        <f>"陳乃華"</f>
        <v>陳乃華</v>
      </c>
    </row>
    <row r="206" spans="1:7" hidden="1" x14ac:dyDescent="0.4">
      <c r="A206" s="3" t="str">
        <f t="shared" si="12"/>
        <v>民族系</v>
      </c>
      <c r="B206" s="3" t="str">
        <f>"官大偉"</f>
        <v>官大偉</v>
      </c>
      <c r="C206" s="3">
        <v>3</v>
      </c>
      <c r="D206" s="3"/>
      <c r="E206" s="3"/>
      <c r="F206" s="3">
        <v>4</v>
      </c>
      <c r="G206" s="3" t="s">
        <v>73</v>
      </c>
    </row>
    <row r="207" spans="1:7" hidden="1" x14ac:dyDescent="0.4">
      <c r="A207" s="3" t="str">
        <f t="shared" si="12"/>
        <v>民族系</v>
      </c>
      <c r="B207" s="3" t="str">
        <f>"藍美華"</f>
        <v>藍美華</v>
      </c>
      <c r="C207" s="3">
        <v>3</v>
      </c>
      <c r="D207" s="3"/>
      <c r="E207" s="3"/>
      <c r="F207" s="3">
        <v>4</v>
      </c>
      <c r="G207" s="3" t="s">
        <v>73</v>
      </c>
    </row>
    <row r="208" spans="1:7" hidden="1" x14ac:dyDescent="0.4">
      <c r="A208" s="3" t="str">
        <f t="shared" si="12"/>
        <v>民族系</v>
      </c>
      <c r="B208" s="3" t="str">
        <f>"張中復"</f>
        <v>張中復</v>
      </c>
      <c r="C208" s="3">
        <v>3</v>
      </c>
      <c r="D208" s="3"/>
      <c r="E208" s="3"/>
      <c r="F208" s="3"/>
      <c r="G208" s="3" t="s">
        <v>73</v>
      </c>
    </row>
    <row r="209" spans="1:7" hidden="1" x14ac:dyDescent="0.4">
      <c r="A209" s="3" t="str">
        <f t="shared" si="12"/>
        <v>民族系</v>
      </c>
      <c r="B209" s="3" t="str">
        <f>"黃季平"</f>
        <v>黃季平</v>
      </c>
      <c r="C209" s="3">
        <v>3</v>
      </c>
      <c r="D209" s="3"/>
      <c r="E209" s="3"/>
      <c r="F209" s="3">
        <v>4</v>
      </c>
      <c r="G209" s="3" t="s">
        <v>73</v>
      </c>
    </row>
    <row r="210" spans="1:7" hidden="1" x14ac:dyDescent="0.4">
      <c r="A210" s="3" t="str">
        <f t="shared" si="12"/>
        <v>民族系</v>
      </c>
      <c r="B210" s="3" t="str">
        <f>"高雅寧"</f>
        <v>高雅寧</v>
      </c>
      <c r="C210" s="3">
        <v>3</v>
      </c>
      <c r="D210" s="3" t="s">
        <v>74</v>
      </c>
      <c r="E210" s="3" t="s">
        <v>75</v>
      </c>
      <c r="F210" s="3">
        <v>4</v>
      </c>
      <c r="G210" s="3"/>
    </row>
    <row r="211" spans="1:7" hidden="1" x14ac:dyDescent="0.4">
      <c r="A211" s="3" t="str">
        <f t="shared" si="12"/>
        <v>民族系</v>
      </c>
      <c r="B211" s="3" t="str">
        <f>"吳考甯"</f>
        <v>吳考甯</v>
      </c>
      <c r="C211" s="3">
        <v>3</v>
      </c>
      <c r="D211" s="3" t="s">
        <v>71</v>
      </c>
      <c r="E211" s="3"/>
      <c r="F211" s="3" t="s">
        <v>72</v>
      </c>
      <c r="G211" s="3"/>
    </row>
    <row r="212" spans="1:7" hidden="1" x14ac:dyDescent="0.4">
      <c r="A212" s="3" t="str">
        <f>"東亞所"</f>
        <v>東亞所</v>
      </c>
      <c r="B212" s="3" t="str">
        <f>"楊昊"</f>
        <v>楊昊</v>
      </c>
      <c r="C212" s="3">
        <v>1</v>
      </c>
      <c r="D212" s="3"/>
      <c r="E212" s="3"/>
      <c r="F212" s="3"/>
      <c r="G212" s="3"/>
    </row>
    <row r="213" spans="1:7" hidden="1" x14ac:dyDescent="0.4">
      <c r="A213" s="3" t="str">
        <f>"東亞所"</f>
        <v>東亞所</v>
      </c>
      <c r="B213" s="3" t="str">
        <f>"孫采薇"</f>
        <v>孫采薇</v>
      </c>
      <c r="C213" s="3">
        <v>1</v>
      </c>
      <c r="D213" s="3"/>
      <c r="E213" s="3"/>
      <c r="F213" s="3"/>
      <c r="G213" s="3"/>
    </row>
    <row r="214" spans="1:7" hidden="1" x14ac:dyDescent="0.4">
      <c r="A214" s="3" t="str">
        <f>"東亞所"</f>
        <v>東亞所</v>
      </c>
      <c r="B214" s="3" t="str">
        <f>"薛健吾"</f>
        <v>薛健吾</v>
      </c>
      <c r="C214" s="3">
        <v>1</v>
      </c>
      <c r="D214" s="3"/>
      <c r="E214" s="3"/>
      <c r="F214" s="3"/>
      <c r="G214" s="3"/>
    </row>
    <row r="215" spans="1:7" hidden="1" x14ac:dyDescent="0.4">
      <c r="A215" s="3" t="str">
        <f>"東亞所"</f>
        <v>東亞所</v>
      </c>
      <c r="B215" s="3" t="str">
        <f>"黃瓊萩"</f>
        <v>黃瓊萩</v>
      </c>
      <c r="C215" s="3">
        <v>1</v>
      </c>
      <c r="D215" s="3"/>
      <c r="E215" s="3"/>
      <c r="F215" s="3"/>
      <c r="G215" s="3"/>
    </row>
    <row r="216" spans="1:7" hidden="1" x14ac:dyDescent="0.4">
      <c r="A216" s="3" t="str">
        <f>"東亞所"</f>
        <v>東亞所</v>
      </c>
      <c r="B216" s="3" t="str">
        <f>"鍾延麟"</f>
        <v>鍾延麟</v>
      </c>
      <c r="C216" s="3">
        <v>1</v>
      </c>
      <c r="D216" s="3"/>
      <c r="E216" s="3"/>
      <c r="F216" s="3"/>
      <c r="G216" s="3" t="s">
        <v>76</v>
      </c>
    </row>
    <row r="217" spans="1:7" hidden="1" x14ac:dyDescent="0.4">
      <c r="A217" s="1" t="str">
        <f>"國發所"</f>
        <v>國發所</v>
      </c>
      <c r="B217" s="1" t="str">
        <f>"林義鈞"</f>
        <v>林義鈞</v>
      </c>
    </row>
    <row r="218" spans="1:7" hidden="1" x14ac:dyDescent="0.4">
      <c r="A218" s="1" t="str">
        <f>"國發所"</f>
        <v>國發所</v>
      </c>
      <c r="B218" s="1" t="str">
        <f>"魏玫娟"</f>
        <v>魏玫娟</v>
      </c>
    </row>
    <row r="219" spans="1:7" hidden="1" x14ac:dyDescent="0.4">
      <c r="A219" s="1" t="str">
        <f>"國發所"</f>
        <v>國發所</v>
      </c>
      <c r="B219" s="1" t="str">
        <f>"黃兆年"</f>
        <v>黃兆年</v>
      </c>
    </row>
    <row r="220" spans="1:7" hidden="1" x14ac:dyDescent="0.4">
      <c r="A220" s="1" t="str">
        <f>"國發所"</f>
        <v>國發所</v>
      </c>
      <c r="B220" s="1" t="str">
        <f>"劉曉鵬"</f>
        <v>劉曉鵬</v>
      </c>
    </row>
    <row r="221" spans="1:7" hidden="1" x14ac:dyDescent="0.4">
      <c r="A221" s="1" t="str">
        <f>"國發所"</f>
        <v>國發所</v>
      </c>
      <c r="B221" s="1" t="str">
        <f>"彭立忠"</f>
        <v>彭立忠</v>
      </c>
    </row>
    <row r="222" spans="1:7" hidden="1" x14ac:dyDescent="0.4">
      <c r="A222" s="3" t="str">
        <f>"勞工所"</f>
        <v>勞工所</v>
      </c>
      <c r="B222" s="3" t="str">
        <f>"張其恆"</f>
        <v>張其恆</v>
      </c>
      <c r="C222" s="3">
        <v>1</v>
      </c>
      <c r="D222" s="3"/>
      <c r="E222" s="3"/>
      <c r="F222" s="3"/>
      <c r="G222" s="3"/>
    </row>
    <row r="223" spans="1:7" hidden="1" x14ac:dyDescent="0.4">
      <c r="A223" s="3" t="str">
        <f>"勞工所"</f>
        <v>勞工所</v>
      </c>
      <c r="B223" s="3" t="str">
        <f>"吳姿慧"</f>
        <v>吳姿慧</v>
      </c>
      <c r="C223" s="3">
        <v>1</v>
      </c>
      <c r="D223" s="3"/>
      <c r="E223" s="3"/>
      <c r="F223" s="3"/>
      <c r="G223" s="3"/>
    </row>
    <row r="224" spans="1:7" hidden="1" x14ac:dyDescent="0.4">
      <c r="A224" s="3" t="str">
        <f>"勞工所"</f>
        <v>勞工所</v>
      </c>
      <c r="B224" s="3" t="str">
        <f>"劉梅君"</f>
        <v>劉梅君</v>
      </c>
      <c r="C224" s="3">
        <v>1</v>
      </c>
      <c r="D224" s="3"/>
      <c r="E224" s="3"/>
      <c r="F224" s="3"/>
      <c r="G224" s="3"/>
    </row>
    <row r="225" spans="1:7" hidden="1" x14ac:dyDescent="0.4">
      <c r="A225" s="3" t="str">
        <f>"勞工所"</f>
        <v>勞工所</v>
      </c>
      <c r="B225" s="3" t="str">
        <f>"成之約"</f>
        <v>成之約</v>
      </c>
      <c r="C225" s="3">
        <v>1</v>
      </c>
      <c r="D225" s="3"/>
      <c r="E225" s="3"/>
      <c r="F225" s="3"/>
      <c r="G225" s="3"/>
    </row>
    <row r="226" spans="1:7" hidden="1" x14ac:dyDescent="0.4">
      <c r="A226" s="1" t="str">
        <f>"俄研所"</f>
        <v>俄研所</v>
      </c>
      <c r="B226" s="1" t="str">
        <f>"魏百谷"</f>
        <v>魏百谷</v>
      </c>
    </row>
    <row r="227" spans="1:7" hidden="1" x14ac:dyDescent="0.4">
      <c r="A227" s="3" t="str">
        <f>"俄研所"</f>
        <v>俄研所</v>
      </c>
      <c r="B227" s="3" t="str">
        <f>"洪美蘭"</f>
        <v>洪美蘭</v>
      </c>
      <c r="C227" s="3">
        <v>1</v>
      </c>
      <c r="D227" s="3"/>
      <c r="E227" s="3"/>
      <c r="F227" s="3"/>
      <c r="G227" s="3"/>
    </row>
    <row r="228" spans="1:7" hidden="1" x14ac:dyDescent="0.4">
      <c r="A228" s="3" t="str">
        <f>"俄研所"</f>
        <v>俄研所</v>
      </c>
      <c r="B228" s="3" t="str">
        <f>"許菁芸"</f>
        <v>許菁芸</v>
      </c>
      <c r="C228" s="3">
        <v>2</v>
      </c>
      <c r="D228" s="3" t="s">
        <v>77</v>
      </c>
      <c r="E228" s="3" t="s">
        <v>78</v>
      </c>
      <c r="F228" s="3">
        <v>4</v>
      </c>
      <c r="G228" s="3" t="s">
        <v>113</v>
      </c>
    </row>
    <row r="229" spans="1:7" hidden="1" x14ac:dyDescent="0.4">
      <c r="A229" s="3" t="str">
        <f>"社工所"</f>
        <v>社工所</v>
      </c>
      <c r="B229" s="3" t="str">
        <f>"林宜輝"</f>
        <v>林宜輝</v>
      </c>
      <c r="C229" s="3">
        <v>1</v>
      </c>
      <c r="D229" s="3"/>
      <c r="E229" s="3"/>
      <c r="F229" s="3"/>
      <c r="G229" s="3"/>
    </row>
    <row r="230" spans="1:7" hidden="1" x14ac:dyDescent="0.4">
      <c r="A230" s="3" t="str">
        <f>"社工所"</f>
        <v>社工所</v>
      </c>
      <c r="B230" s="3" t="str">
        <f>"楊佩榮"</f>
        <v>楊佩榮</v>
      </c>
      <c r="C230" s="3">
        <v>2</v>
      </c>
      <c r="D230" s="3" t="s">
        <v>80</v>
      </c>
      <c r="E230" s="3" t="s">
        <v>81</v>
      </c>
      <c r="F230" s="3">
        <v>1</v>
      </c>
      <c r="G230" s="3" t="s">
        <v>79</v>
      </c>
    </row>
    <row r="231" spans="1:7" hidden="1" x14ac:dyDescent="0.4">
      <c r="A231" s="3" t="str">
        <f>"社工所"</f>
        <v>社工所</v>
      </c>
      <c r="B231" s="3" t="str">
        <f>"蔡培元"</f>
        <v>蔡培元</v>
      </c>
      <c r="C231" s="3">
        <v>2</v>
      </c>
      <c r="D231" s="3" t="s">
        <v>82</v>
      </c>
      <c r="E231" s="3" t="s">
        <v>83</v>
      </c>
      <c r="F231" s="3">
        <v>4</v>
      </c>
      <c r="G231" s="3" t="s">
        <v>79</v>
      </c>
    </row>
    <row r="232" spans="1:7" hidden="1" x14ac:dyDescent="0.4">
      <c r="A232" s="3" t="str">
        <f>"社工所"</f>
        <v>社工所</v>
      </c>
      <c r="B232" s="3" t="str">
        <f>"王增勇"</f>
        <v>王增勇</v>
      </c>
      <c r="C232" s="3">
        <v>2</v>
      </c>
      <c r="D232" s="3"/>
      <c r="E232" s="3"/>
      <c r="F232" s="3">
        <v>4</v>
      </c>
      <c r="G232" s="3" t="s">
        <v>79</v>
      </c>
    </row>
    <row r="233" spans="1:7" hidden="1" x14ac:dyDescent="0.4">
      <c r="A233" s="1" t="str">
        <f>"應用經濟學程"</f>
        <v>應用經濟學程</v>
      </c>
      <c r="B233" s="1" t="str">
        <f>"蘇昱璇"</f>
        <v>蘇昱璇</v>
      </c>
    </row>
    <row r="234" spans="1:7" hidden="1" x14ac:dyDescent="0.4">
      <c r="A234" s="1" t="str">
        <f>"應用經濟學程"</f>
        <v>應用經濟學程</v>
      </c>
      <c r="B234" s="1" t="str">
        <f>"黃柏鈞"</f>
        <v>黃柏鈞</v>
      </c>
    </row>
    <row r="235" spans="1:7" hidden="1" x14ac:dyDescent="0.4">
      <c r="A235" s="1" t="str">
        <f>"應用經濟學程"</f>
        <v>應用經濟學程</v>
      </c>
      <c r="B235" s="1" t="str">
        <f>"彭喜樞"</f>
        <v>彭喜樞</v>
      </c>
    </row>
    <row r="236" spans="1:7" hidden="1" x14ac:dyDescent="0.4">
      <c r="A236" s="1" t="str">
        <f>"應用經濟學程"</f>
        <v>應用經濟學程</v>
      </c>
      <c r="B236" s="1" t="str">
        <f>"楊子霆"</f>
        <v>楊子霆</v>
      </c>
    </row>
    <row r="237" spans="1:7" hidden="1" x14ac:dyDescent="0.4">
      <c r="A237" s="1" t="str">
        <f>"土地碩原專班"</f>
        <v>土地碩原專班</v>
      </c>
      <c r="B237" s="1" t="str">
        <f>"陳怡萱"</f>
        <v>陳怡萱</v>
      </c>
    </row>
    <row r="238" spans="1:7" hidden="1" x14ac:dyDescent="0.4">
      <c r="A238" s="1" t="str">
        <f>"土地碩原專班"</f>
        <v>土地碩原專班</v>
      </c>
      <c r="B238" s="1" t="str">
        <f>"官大偉"</f>
        <v>官大偉</v>
      </c>
    </row>
    <row r="239" spans="1:7" hidden="1" x14ac:dyDescent="0.4">
      <c r="A239" s="1" t="str">
        <f>"土地碩原專班"</f>
        <v>土地碩原專班</v>
      </c>
      <c r="B239" s="1" t="str">
        <f>"戴秀雄"</f>
        <v>戴秀雄</v>
      </c>
    </row>
    <row r="240" spans="1:7" hidden="1" x14ac:dyDescent="0.4">
      <c r="A240" s="1" t="str">
        <f>"土地碩原專班"</f>
        <v>土地碩原專班</v>
      </c>
      <c r="B240" s="1" t="str">
        <f>"吳秦雯"</f>
        <v>吳秦雯</v>
      </c>
    </row>
    <row r="241" spans="1:2" hidden="1" x14ac:dyDescent="0.4">
      <c r="A241" s="1" t="str">
        <f>"商學院"</f>
        <v>商學院</v>
      </c>
      <c r="B241" s="1" t="str">
        <f>"蔡維奇"</f>
        <v>蔡維奇</v>
      </c>
    </row>
    <row r="242" spans="1:2" hidden="1" x14ac:dyDescent="0.4">
      <c r="A242" s="1" t="str">
        <f t="shared" ref="A242:A263" si="13">"國貿系"</f>
        <v>國貿系</v>
      </c>
      <c r="B242" s="1" t="str">
        <f>"林信助"</f>
        <v>林信助</v>
      </c>
    </row>
    <row r="243" spans="1:2" hidden="1" x14ac:dyDescent="0.4">
      <c r="A243" s="1" t="str">
        <f t="shared" si="13"/>
        <v>國貿系</v>
      </c>
      <c r="B243" s="1" t="str">
        <f>"溫偉任"</f>
        <v>溫偉任</v>
      </c>
    </row>
    <row r="244" spans="1:2" hidden="1" x14ac:dyDescent="0.4">
      <c r="A244" s="1" t="str">
        <f t="shared" si="13"/>
        <v>國貿系</v>
      </c>
      <c r="B244" s="1" t="str">
        <f>"蔡致遠"</f>
        <v>蔡致遠</v>
      </c>
    </row>
    <row r="245" spans="1:2" hidden="1" x14ac:dyDescent="0.4">
      <c r="A245" s="1" t="str">
        <f t="shared" si="13"/>
        <v>國貿系</v>
      </c>
      <c r="B245" s="1" t="str">
        <f>"薛景文"</f>
        <v>薛景文</v>
      </c>
    </row>
    <row r="246" spans="1:2" hidden="1" x14ac:dyDescent="0.4">
      <c r="A246" s="1" t="str">
        <f t="shared" si="13"/>
        <v>國貿系</v>
      </c>
      <c r="B246" s="1" t="str">
        <f>"潘振宇"</f>
        <v>潘振宇</v>
      </c>
    </row>
    <row r="247" spans="1:2" hidden="1" x14ac:dyDescent="0.4">
      <c r="A247" s="1" t="str">
        <f t="shared" si="13"/>
        <v>國貿系</v>
      </c>
      <c r="B247" s="1" t="str">
        <f>"郭維裕"</f>
        <v>郭維裕</v>
      </c>
    </row>
    <row r="248" spans="1:2" hidden="1" x14ac:dyDescent="0.4">
      <c r="A248" s="1" t="str">
        <f t="shared" si="13"/>
        <v>國貿系</v>
      </c>
      <c r="B248" s="1" t="str">
        <f>"施文真"</f>
        <v>施文真</v>
      </c>
    </row>
    <row r="249" spans="1:2" hidden="1" x14ac:dyDescent="0.4">
      <c r="A249" s="1" t="str">
        <f t="shared" si="13"/>
        <v>國貿系</v>
      </c>
      <c r="B249" s="1" t="str">
        <f>"徐則謙"</f>
        <v>徐則謙</v>
      </c>
    </row>
    <row r="250" spans="1:2" hidden="1" x14ac:dyDescent="0.4">
      <c r="A250" s="1" t="str">
        <f t="shared" si="13"/>
        <v>國貿系</v>
      </c>
      <c r="B250" s="1" t="str">
        <f>"楊培侃"</f>
        <v>楊培侃</v>
      </c>
    </row>
    <row r="251" spans="1:2" hidden="1" x14ac:dyDescent="0.4">
      <c r="A251" s="1" t="str">
        <f t="shared" si="13"/>
        <v>國貿系</v>
      </c>
      <c r="B251" s="1" t="str">
        <f>"徐政義"</f>
        <v>徐政義</v>
      </c>
    </row>
    <row r="252" spans="1:2" hidden="1" x14ac:dyDescent="0.4">
      <c r="A252" s="1" t="str">
        <f t="shared" si="13"/>
        <v>國貿系</v>
      </c>
      <c r="B252" s="1" t="str">
        <f>"鄭濬浩"</f>
        <v>鄭濬浩</v>
      </c>
    </row>
    <row r="253" spans="1:2" hidden="1" x14ac:dyDescent="0.4">
      <c r="A253" s="1" t="str">
        <f t="shared" si="13"/>
        <v>國貿系</v>
      </c>
      <c r="B253" s="1" t="str">
        <f>"郭炳伸"</f>
        <v>郭炳伸</v>
      </c>
    </row>
    <row r="254" spans="1:2" hidden="1" x14ac:dyDescent="0.4">
      <c r="A254" s="1" t="str">
        <f t="shared" si="13"/>
        <v>國貿系</v>
      </c>
      <c r="B254" s="1" t="str">
        <f>"譚丹琪"</f>
        <v>譚丹琪</v>
      </c>
    </row>
    <row r="255" spans="1:2" hidden="1" x14ac:dyDescent="0.4">
      <c r="A255" s="1" t="str">
        <f t="shared" si="13"/>
        <v>國貿系</v>
      </c>
      <c r="B255" s="1" t="str">
        <f>"顏佑銘"</f>
        <v>顏佑銘</v>
      </c>
    </row>
    <row r="256" spans="1:2" hidden="1" x14ac:dyDescent="0.4">
      <c r="A256" s="1" t="str">
        <f t="shared" si="13"/>
        <v>國貿系</v>
      </c>
      <c r="B256" s="1" t="str">
        <f>"荒井夏來"</f>
        <v>荒井夏來</v>
      </c>
    </row>
    <row r="257" spans="1:7" hidden="1" x14ac:dyDescent="0.4">
      <c r="A257" s="1" t="str">
        <f t="shared" si="13"/>
        <v>國貿系</v>
      </c>
      <c r="B257" s="1" t="str">
        <f>"蘇威傑"</f>
        <v>蘇威傑</v>
      </c>
    </row>
    <row r="258" spans="1:7" hidden="1" x14ac:dyDescent="0.4">
      <c r="A258" s="1" t="str">
        <f t="shared" si="13"/>
        <v>國貿系</v>
      </c>
      <c r="B258" s="1" t="str">
        <f>"鍾令德"</f>
        <v>鍾令德</v>
      </c>
    </row>
    <row r="259" spans="1:7" hidden="1" x14ac:dyDescent="0.4">
      <c r="A259" s="1" t="str">
        <f t="shared" si="13"/>
        <v>國貿系</v>
      </c>
      <c r="B259" s="1" t="str">
        <f>"陳建維"</f>
        <v>陳建維</v>
      </c>
    </row>
    <row r="260" spans="1:7" hidden="1" x14ac:dyDescent="0.4">
      <c r="A260" s="1" t="str">
        <f t="shared" si="13"/>
        <v>國貿系</v>
      </c>
      <c r="B260" s="1" t="str">
        <f>"謝淑貞"</f>
        <v>謝淑貞</v>
      </c>
    </row>
    <row r="261" spans="1:7" hidden="1" x14ac:dyDescent="0.4">
      <c r="A261" s="1" t="str">
        <f t="shared" si="13"/>
        <v>國貿系</v>
      </c>
      <c r="B261" s="1" t="str">
        <f>"朴民佑"</f>
        <v>朴民佑</v>
      </c>
    </row>
    <row r="262" spans="1:7" hidden="1" x14ac:dyDescent="0.4">
      <c r="A262" s="1" t="str">
        <f t="shared" si="13"/>
        <v>國貿系</v>
      </c>
      <c r="B262" s="1" t="str">
        <f>"楊光華"</f>
        <v>楊光華</v>
      </c>
    </row>
    <row r="263" spans="1:7" hidden="1" x14ac:dyDescent="0.4">
      <c r="A263" s="1" t="str">
        <f t="shared" si="13"/>
        <v>國貿系</v>
      </c>
      <c r="B263" s="1" t="str">
        <f>"何乾瑋"</f>
        <v>何乾瑋</v>
      </c>
    </row>
    <row r="264" spans="1:7" hidden="1" x14ac:dyDescent="0.4">
      <c r="A264" s="3" t="str">
        <f t="shared" ref="A264:A271" si="14">"金融系"</f>
        <v>金融系</v>
      </c>
      <c r="B264" s="3" t="str">
        <f>"羅秉政"</f>
        <v>羅秉政</v>
      </c>
      <c r="C264" s="3">
        <v>1</v>
      </c>
      <c r="D264" s="3"/>
      <c r="E264" s="3"/>
      <c r="F264" s="3"/>
      <c r="G264" s="3"/>
    </row>
    <row r="265" spans="1:7" hidden="1" x14ac:dyDescent="0.4">
      <c r="A265" s="1" t="str">
        <f t="shared" si="14"/>
        <v>金融系</v>
      </c>
      <c r="B265" s="1" t="str">
        <f>"趙世偉"</f>
        <v>趙世偉</v>
      </c>
    </row>
    <row r="266" spans="1:7" hidden="1" x14ac:dyDescent="0.4">
      <c r="A266" s="1" t="str">
        <f t="shared" si="14"/>
        <v>金融系</v>
      </c>
      <c r="B266" s="1" t="str">
        <f>"林建秀"</f>
        <v>林建秀</v>
      </c>
    </row>
    <row r="267" spans="1:7" hidden="1" x14ac:dyDescent="0.4">
      <c r="A267" s="1" t="str">
        <f t="shared" si="14"/>
        <v>金融系</v>
      </c>
      <c r="B267" s="1" t="str">
        <f>"陳威光"</f>
        <v>陳威光</v>
      </c>
    </row>
    <row r="268" spans="1:7" hidden="1" x14ac:dyDescent="0.4">
      <c r="A268" s="1" t="str">
        <f t="shared" si="14"/>
        <v>金融系</v>
      </c>
      <c r="B268" s="1" t="str">
        <f>"張興華"</f>
        <v>張興華</v>
      </c>
    </row>
    <row r="269" spans="1:7" hidden="1" x14ac:dyDescent="0.4">
      <c r="A269" s="1" t="str">
        <f t="shared" si="14"/>
        <v>金融系</v>
      </c>
      <c r="B269" s="1" t="str">
        <f>"林士貴"</f>
        <v>林士貴</v>
      </c>
    </row>
    <row r="270" spans="1:7" hidden="1" x14ac:dyDescent="0.4">
      <c r="A270" s="1" t="str">
        <f t="shared" si="14"/>
        <v>金融系</v>
      </c>
      <c r="B270" s="1" t="str">
        <f>"江彌修"</f>
        <v>江彌修</v>
      </c>
    </row>
    <row r="271" spans="1:7" hidden="1" x14ac:dyDescent="0.4">
      <c r="A271" s="1" t="str">
        <f t="shared" si="14"/>
        <v>金融系</v>
      </c>
      <c r="B271" s="1" t="str">
        <f>"楊曉文"</f>
        <v>楊曉文</v>
      </c>
    </row>
    <row r="272" spans="1:7" hidden="1" x14ac:dyDescent="0.4">
      <c r="A272" s="1" t="str">
        <f t="shared" ref="A272:A285" si="15">"會計系"</f>
        <v>會計系</v>
      </c>
      <c r="B272" s="1" t="str">
        <f>"戚務君"</f>
        <v>戚務君</v>
      </c>
    </row>
    <row r="273" spans="1:7" hidden="1" x14ac:dyDescent="0.4">
      <c r="A273" s="1" t="str">
        <f t="shared" si="15"/>
        <v>會計系</v>
      </c>
      <c r="B273" s="1" t="str">
        <f>"梁嘉紋"</f>
        <v>梁嘉紋</v>
      </c>
    </row>
    <row r="274" spans="1:7" hidden="1" x14ac:dyDescent="0.4">
      <c r="A274" s="1" t="str">
        <f t="shared" si="15"/>
        <v>會計系</v>
      </c>
      <c r="B274" s="1" t="str">
        <f>"金成隆"</f>
        <v>金成隆</v>
      </c>
    </row>
    <row r="275" spans="1:7" hidden="1" x14ac:dyDescent="0.4">
      <c r="A275" s="1" t="str">
        <f t="shared" si="15"/>
        <v>會計系</v>
      </c>
      <c r="B275" s="1" t="str">
        <f>"黃政仁"</f>
        <v>黃政仁</v>
      </c>
    </row>
    <row r="276" spans="1:7" hidden="1" x14ac:dyDescent="0.4">
      <c r="A276" s="3" t="str">
        <f t="shared" si="15"/>
        <v>會計系</v>
      </c>
      <c r="B276" s="3" t="str">
        <f>"林禹銘"</f>
        <v>林禹銘</v>
      </c>
      <c r="C276" s="3">
        <v>1</v>
      </c>
      <c r="D276" s="3"/>
      <c r="E276" s="3"/>
      <c r="F276" s="3"/>
      <c r="G276" s="3"/>
    </row>
    <row r="277" spans="1:7" hidden="1" x14ac:dyDescent="0.4">
      <c r="A277" s="3" t="str">
        <f t="shared" si="15"/>
        <v>會計系</v>
      </c>
      <c r="B277" s="3" t="str">
        <f>"李佳玲"</f>
        <v>李佳玲</v>
      </c>
      <c r="C277" s="3">
        <v>2</v>
      </c>
      <c r="D277" s="3" t="s">
        <v>84</v>
      </c>
      <c r="E277" s="3" t="s">
        <v>85</v>
      </c>
      <c r="F277" s="3">
        <v>4</v>
      </c>
      <c r="G277" s="3"/>
    </row>
    <row r="278" spans="1:7" hidden="1" x14ac:dyDescent="0.4">
      <c r="A278" s="3" t="str">
        <f t="shared" si="15"/>
        <v>會計系</v>
      </c>
      <c r="B278" s="3" t="str">
        <f>"翁嘉祥"</f>
        <v>翁嘉祥</v>
      </c>
      <c r="C278" s="3">
        <v>1</v>
      </c>
      <c r="D278" s="3"/>
      <c r="E278" s="3"/>
      <c r="F278" s="3"/>
      <c r="G278" s="3"/>
    </row>
    <row r="279" spans="1:7" hidden="1" x14ac:dyDescent="0.4">
      <c r="A279" s="3" t="str">
        <f t="shared" si="15"/>
        <v>會計系</v>
      </c>
      <c r="B279" s="3" t="str">
        <f>"張祐慈"</f>
        <v>張祐慈</v>
      </c>
      <c r="C279" s="3">
        <v>1</v>
      </c>
      <c r="D279" s="3"/>
      <c r="E279" s="3"/>
      <c r="F279" s="3"/>
      <c r="G279" s="3"/>
    </row>
    <row r="280" spans="1:7" hidden="1" x14ac:dyDescent="0.4">
      <c r="A280" s="1" t="str">
        <f t="shared" si="15"/>
        <v>會計系</v>
      </c>
      <c r="B280" s="1" t="str">
        <f>"潘健民"</f>
        <v>潘健民</v>
      </c>
    </row>
    <row r="281" spans="1:7" hidden="1" x14ac:dyDescent="0.4">
      <c r="A281" s="3" t="str">
        <f t="shared" si="15"/>
        <v>會計系</v>
      </c>
      <c r="B281" s="3" t="str">
        <f>"徐愛恩"</f>
        <v>徐愛恩</v>
      </c>
      <c r="C281" s="3">
        <v>1</v>
      </c>
      <c r="D281" s="3"/>
      <c r="E281" s="3"/>
      <c r="F281" s="3"/>
      <c r="G281" s="3"/>
    </row>
    <row r="282" spans="1:7" hidden="1" x14ac:dyDescent="0.4">
      <c r="A282" s="1" t="str">
        <f t="shared" si="15"/>
        <v>會計系</v>
      </c>
      <c r="B282" s="1" t="str">
        <f>"詹凌菁"</f>
        <v>詹凌菁</v>
      </c>
    </row>
    <row r="283" spans="1:7" hidden="1" x14ac:dyDescent="0.4">
      <c r="A283" s="3" t="str">
        <f t="shared" si="15"/>
        <v>會計系</v>
      </c>
      <c r="B283" s="3" t="str">
        <f>"王文英"</f>
        <v>王文英</v>
      </c>
      <c r="C283" s="3">
        <v>1</v>
      </c>
      <c r="D283" s="3"/>
      <c r="E283" s="3"/>
      <c r="F283" s="3"/>
      <c r="G283" s="3"/>
    </row>
    <row r="284" spans="1:7" hidden="1" x14ac:dyDescent="0.4">
      <c r="A284" s="3" t="str">
        <f t="shared" si="15"/>
        <v>會計系</v>
      </c>
      <c r="B284" s="3" t="str">
        <f>"吳安妮"</f>
        <v>吳安妮</v>
      </c>
      <c r="C284" s="3">
        <v>1</v>
      </c>
      <c r="D284" s="3"/>
      <c r="E284" s="3"/>
      <c r="F284" s="3"/>
      <c r="G284" s="3"/>
    </row>
    <row r="285" spans="1:7" hidden="1" x14ac:dyDescent="0.4">
      <c r="A285" s="1" t="str">
        <f t="shared" si="15"/>
        <v>會計系</v>
      </c>
      <c r="B285" s="1" t="str">
        <f>"俞洪昭"</f>
        <v>俞洪昭</v>
      </c>
    </row>
    <row r="286" spans="1:7" hidden="1" x14ac:dyDescent="0.4">
      <c r="A286" s="3" t="str">
        <f t="shared" ref="A286:A298" si="16">"統計系"</f>
        <v>統計系</v>
      </c>
      <c r="B286" s="3" t="str">
        <f>"周珮婷"</f>
        <v>周珮婷</v>
      </c>
      <c r="C286" s="3">
        <v>2</v>
      </c>
      <c r="D286" s="3" t="s">
        <v>86</v>
      </c>
      <c r="E286" s="3" t="s">
        <v>87</v>
      </c>
      <c r="F286" s="3">
        <v>4</v>
      </c>
      <c r="G286" s="3" t="s">
        <v>89</v>
      </c>
    </row>
    <row r="287" spans="1:7" hidden="1" x14ac:dyDescent="0.4">
      <c r="A287" s="3" t="str">
        <f t="shared" si="16"/>
        <v>統計系</v>
      </c>
      <c r="B287" s="3" t="str">
        <f>"陳立榜"</f>
        <v>陳立榜</v>
      </c>
      <c r="C287" s="3">
        <v>2</v>
      </c>
      <c r="D287" s="3" t="s">
        <v>88</v>
      </c>
      <c r="E287" s="3"/>
      <c r="F287" s="3">
        <v>4</v>
      </c>
      <c r="G287" s="3" t="s">
        <v>89</v>
      </c>
    </row>
    <row r="288" spans="1:7" hidden="1" x14ac:dyDescent="0.4">
      <c r="A288" s="3" t="str">
        <f t="shared" si="16"/>
        <v>統計系</v>
      </c>
      <c r="B288" s="3" t="str">
        <f>"黃佳慧"</f>
        <v>黃佳慧</v>
      </c>
      <c r="C288" s="3">
        <v>2</v>
      </c>
      <c r="D288" s="3" t="s">
        <v>90</v>
      </c>
      <c r="E288" s="3" t="s">
        <v>91</v>
      </c>
      <c r="F288" s="3">
        <v>4</v>
      </c>
      <c r="G288" s="3" t="s">
        <v>89</v>
      </c>
    </row>
    <row r="289" spans="1:7" hidden="1" x14ac:dyDescent="0.4">
      <c r="A289" s="3" t="str">
        <f t="shared" si="16"/>
        <v>統計系</v>
      </c>
      <c r="B289" s="3" t="str">
        <f>"陳怡如"</f>
        <v>陳怡如</v>
      </c>
      <c r="C289" s="3">
        <v>2</v>
      </c>
      <c r="D289" s="3" t="s">
        <v>92</v>
      </c>
      <c r="E289" s="3" t="s">
        <v>93</v>
      </c>
      <c r="F289" s="3">
        <v>4</v>
      </c>
      <c r="G289" s="3" t="s">
        <v>89</v>
      </c>
    </row>
    <row r="290" spans="1:7" hidden="1" x14ac:dyDescent="0.4">
      <c r="A290" s="3" t="str">
        <f t="shared" si="16"/>
        <v>統計系</v>
      </c>
      <c r="B290" s="3" t="str">
        <f>"吳漢銘"</f>
        <v>吳漢銘</v>
      </c>
      <c r="C290" s="3">
        <v>2</v>
      </c>
      <c r="D290" s="3" t="s">
        <v>96</v>
      </c>
      <c r="E290" s="3" t="s">
        <v>97</v>
      </c>
      <c r="F290" s="3">
        <v>4</v>
      </c>
      <c r="G290" s="3" t="s">
        <v>89</v>
      </c>
    </row>
    <row r="291" spans="1:7" hidden="1" x14ac:dyDescent="0.4">
      <c r="A291" s="3" t="str">
        <f t="shared" si="16"/>
        <v>統計系</v>
      </c>
      <c r="B291" s="3" t="str">
        <f>"黃子銘"</f>
        <v>黃子銘</v>
      </c>
      <c r="C291" s="3">
        <v>2</v>
      </c>
      <c r="D291" s="3" t="s">
        <v>99</v>
      </c>
      <c r="E291" s="3" t="s">
        <v>98</v>
      </c>
      <c r="F291" s="3">
        <v>4</v>
      </c>
      <c r="G291" s="3" t="s">
        <v>89</v>
      </c>
    </row>
    <row r="292" spans="1:7" hidden="1" x14ac:dyDescent="0.4">
      <c r="A292" s="3" t="str">
        <f t="shared" si="16"/>
        <v>統計系</v>
      </c>
      <c r="B292" s="3" t="str">
        <f>"鄭宗記"</f>
        <v>鄭宗記</v>
      </c>
      <c r="C292" s="3">
        <v>2</v>
      </c>
      <c r="D292" s="3" t="s">
        <v>94</v>
      </c>
      <c r="E292" s="3" t="s">
        <v>100</v>
      </c>
      <c r="F292" s="3">
        <v>4</v>
      </c>
      <c r="G292" s="3" t="s">
        <v>89</v>
      </c>
    </row>
    <row r="293" spans="1:7" hidden="1" x14ac:dyDescent="0.4">
      <c r="A293" s="3" t="str">
        <f t="shared" si="16"/>
        <v>統計系</v>
      </c>
      <c r="B293" s="3" t="str">
        <f>"翁久幸"</f>
        <v>翁久幸</v>
      </c>
      <c r="C293" s="3">
        <v>2</v>
      </c>
      <c r="D293" s="3" t="s">
        <v>101</v>
      </c>
      <c r="E293" s="3" t="s">
        <v>102</v>
      </c>
      <c r="F293" s="3">
        <v>4</v>
      </c>
      <c r="G293" s="3" t="s">
        <v>89</v>
      </c>
    </row>
    <row r="294" spans="1:7" hidden="1" x14ac:dyDescent="0.4">
      <c r="A294" s="3" t="str">
        <f t="shared" si="16"/>
        <v>統計系</v>
      </c>
      <c r="B294" s="3" t="str">
        <f>"楊素芬"</f>
        <v>楊素芬</v>
      </c>
      <c r="C294" s="3">
        <v>2</v>
      </c>
      <c r="D294" s="3" t="s">
        <v>94</v>
      </c>
      <c r="E294" s="3" t="s">
        <v>103</v>
      </c>
      <c r="F294" s="3">
        <v>4</v>
      </c>
      <c r="G294" s="3" t="s">
        <v>89</v>
      </c>
    </row>
    <row r="295" spans="1:7" hidden="1" x14ac:dyDescent="0.4">
      <c r="A295" s="3" t="str">
        <f t="shared" si="16"/>
        <v>統計系</v>
      </c>
      <c r="B295" s="3" t="str">
        <f>"劉惠美"</f>
        <v>劉惠美</v>
      </c>
      <c r="C295" s="3">
        <v>2</v>
      </c>
      <c r="D295" s="3" t="s">
        <v>94</v>
      </c>
      <c r="E295" s="3" t="s">
        <v>95</v>
      </c>
      <c r="F295" s="3">
        <v>4</v>
      </c>
      <c r="G295" s="3" t="s">
        <v>89</v>
      </c>
    </row>
    <row r="296" spans="1:7" hidden="1" x14ac:dyDescent="0.4">
      <c r="A296" s="3" t="str">
        <f t="shared" si="16"/>
        <v>統計系</v>
      </c>
      <c r="B296" s="3" t="s">
        <v>104</v>
      </c>
      <c r="C296" s="3">
        <v>2</v>
      </c>
      <c r="D296" s="3" t="s">
        <v>105</v>
      </c>
      <c r="E296" s="3" t="s">
        <v>106</v>
      </c>
      <c r="F296" s="3">
        <v>4</v>
      </c>
      <c r="G296" s="3" t="s">
        <v>89</v>
      </c>
    </row>
    <row r="297" spans="1:7" hidden="1" x14ac:dyDescent="0.4">
      <c r="A297" s="3" t="str">
        <f t="shared" si="16"/>
        <v>統計系</v>
      </c>
      <c r="B297" s="3" t="s">
        <v>107</v>
      </c>
      <c r="C297" s="3">
        <v>2</v>
      </c>
      <c r="D297" s="3" t="s">
        <v>108</v>
      </c>
      <c r="E297" s="3" t="s">
        <v>109</v>
      </c>
      <c r="F297" s="3">
        <v>4</v>
      </c>
      <c r="G297" s="3" t="s">
        <v>89</v>
      </c>
    </row>
    <row r="298" spans="1:7" hidden="1" x14ac:dyDescent="0.4">
      <c r="A298" s="3" t="str">
        <f t="shared" si="16"/>
        <v>統計系</v>
      </c>
      <c r="B298" s="3" t="s">
        <v>110</v>
      </c>
      <c r="C298" s="3">
        <v>2</v>
      </c>
      <c r="D298" s="3" t="s">
        <v>94</v>
      </c>
      <c r="E298" s="3" t="s">
        <v>111</v>
      </c>
      <c r="F298" s="3">
        <v>4</v>
      </c>
      <c r="G298" s="3" t="s">
        <v>89</v>
      </c>
    </row>
    <row r="299" spans="1:7" hidden="1" x14ac:dyDescent="0.4">
      <c r="A299" s="1" t="str">
        <f t="shared" ref="A299:A314" si="17">"企管系"</f>
        <v>企管系</v>
      </c>
      <c r="B299" s="1" t="str">
        <f>"彭朱如"</f>
        <v>彭朱如</v>
      </c>
    </row>
    <row r="300" spans="1:7" hidden="1" x14ac:dyDescent="0.4">
      <c r="A300" s="1" t="str">
        <f t="shared" si="17"/>
        <v>企管系</v>
      </c>
      <c r="B300" s="1" t="str">
        <f>"巫立宇"</f>
        <v>巫立宇</v>
      </c>
    </row>
    <row r="301" spans="1:7" hidden="1" x14ac:dyDescent="0.4">
      <c r="A301" s="1" t="str">
        <f t="shared" si="17"/>
        <v>企管系</v>
      </c>
      <c r="B301" s="1" t="str">
        <f>"黃家齊"</f>
        <v>黃家齊</v>
      </c>
    </row>
    <row r="302" spans="1:7" hidden="1" x14ac:dyDescent="0.4">
      <c r="A302" s="1" t="str">
        <f t="shared" si="17"/>
        <v>企管系</v>
      </c>
      <c r="B302" s="1" t="str">
        <f>"謝凱宇"</f>
        <v>謝凱宇</v>
      </c>
    </row>
    <row r="303" spans="1:7" hidden="1" x14ac:dyDescent="0.4">
      <c r="A303" s="1" t="str">
        <f t="shared" si="17"/>
        <v>企管系</v>
      </c>
      <c r="B303" s="1" t="str">
        <f>"許育瑋"</f>
        <v>許育瑋</v>
      </c>
    </row>
    <row r="304" spans="1:7" hidden="1" x14ac:dyDescent="0.4">
      <c r="A304" s="1" t="str">
        <f t="shared" si="17"/>
        <v>企管系</v>
      </c>
      <c r="B304" s="1" t="str">
        <f>"黃國峯"</f>
        <v>黃國峯</v>
      </c>
    </row>
    <row r="305" spans="1:7" hidden="1" x14ac:dyDescent="0.4">
      <c r="A305" s="1" t="str">
        <f t="shared" si="17"/>
        <v>企管系</v>
      </c>
      <c r="B305" s="1" t="str">
        <f>"郭曉玲"</f>
        <v>郭曉玲</v>
      </c>
    </row>
    <row r="306" spans="1:7" hidden="1" x14ac:dyDescent="0.4">
      <c r="A306" s="1" t="str">
        <f t="shared" si="17"/>
        <v>企管系</v>
      </c>
      <c r="B306" s="1" t="str">
        <f>"傅浚映"</f>
        <v>傅浚映</v>
      </c>
    </row>
    <row r="307" spans="1:7" hidden="1" x14ac:dyDescent="0.4">
      <c r="A307" s="1" t="str">
        <f t="shared" si="17"/>
        <v>企管系</v>
      </c>
      <c r="B307" s="1" t="str">
        <f>"曹銀愛"</f>
        <v>曹銀愛</v>
      </c>
    </row>
    <row r="308" spans="1:7" hidden="1" x14ac:dyDescent="0.4">
      <c r="A308" s="1" t="str">
        <f t="shared" si="17"/>
        <v>企管系</v>
      </c>
      <c r="B308" s="1" t="str">
        <f>"朴星俊"</f>
        <v>朴星俊</v>
      </c>
    </row>
    <row r="309" spans="1:7" hidden="1" x14ac:dyDescent="0.4">
      <c r="A309" s="1" t="str">
        <f t="shared" si="17"/>
        <v>企管系</v>
      </c>
      <c r="B309" s="1" t="str">
        <f>"陳立民"</f>
        <v>陳立民</v>
      </c>
    </row>
    <row r="310" spans="1:7" hidden="1" x14ac:dyDescent="0.4">
      <c r="A310" s="1" t="str">
        <f t="shared" si="17"/>
        <v>企管系</v>
      </c>
      <c r="B310" s="1" t="str">
        <f>"陳冠儒"</f>
        <v>陳冠儒</v>
      </c>
    </row>
    <row r="311" spans="1:7" hidden="1" x14ac:dyDescent="0.4">
      <c r="A311" s="1" t="str">
        <f t="shared" si="17"/>
        <v>企管系</v>
      </c>
      <c r="B311" s="1" t="str">
        <f>"韓志翔"</f>
        <v>韓志翔</v>
      </c>
    </row>
    <row r="312" spans="1:7" hidden="1" x14ac:dyDescent="0.4">
      <c r="A312" s="1" t="str">
        <f t="shared" si="17"/>
        <v>企管系</v>
      </c>
      <c r="B312" s="1" t="str">
        <f>"胡昌亞"</f>
        <v>胡昌亞</v>
      </c>
    </row>
    <row r="313" spans="1:7" hidden="1" x14ac:dyDescent="0.4">
      <c r="A313" s="1" t="str">
        <f t="shared" si="17"/>
        <v>企管系</v>
      </c>
      <c r="B313" s="1" t="str">
        <f>"洪叔民"</f>
        <v>洪叔民</v>
      </c>
    </row>
    <row r="314" spans="1:7" hidden="1" x14ac:dyDescent="0.4">
      <c r="A314" s="1" t="str">
        <f t="shared" si="17"/>
        <v>企管系</v>
      </c>
      <c r="B314" s="1" t="str">
        <f>"羅明琇"</f>
        <v>羅明琇</v>
      </c>
    </row>
    <row r="315" spans="1:7" hidden="1" x14ac:dyDescent="0.4">
      <c r="A315" s="3" t="str">
        <f t="shared" ref="A315:A329" si="18">"資管系"</f>
        <v>資管系</v>
      </c>
      <c r="B315" s="3" t="str">
        <f>"李曉惠"</f>
        <v>李曉惠</v>
      </c>
      <c r="C315" s="3">
        <v>1</v>
      </c>
      <c r="D315" s="3"/>
      <c r="E315" s="3"/>
      <c r="F315" s="3"/>
      <c r="G315" s="3"/>
    </row>
    <row r="316" spans="1:7" hidden="1" x14ac:dyDescent="0.4">
      <c r="A316" s="1" t="str">
        <f t="shared" si="18"/>
        <v>資管系</v>
      </c>
      <c r="B316" s="1" t="str">
        <f>"湯宗益"</f>
        <v>湯宗益</v>
      </c>
    </row>
    <row r="317" spans="1:7" hidden="1" x14ac:dyDescent="0.4">
      <c r="A317" s="3" t="str">
        <f t="shared" si="18"/>
        <v>資管系</v>
      </c>
      <c r="B317" s="3" t="str">
        <f>"蔡瑞煌"</f>
        <v>蔡瑞煌</v>
      </c>
      <c r="C317" s="3">
        <v>1</v>
      </c>
      <c r="D317" s="3"/>
      <c r="E317" s="3"/>
      <c r="F317" s="3"/>
      <c r="G317" s="3"/>
    </row>
    <row r="318" spans="1:7" hidden="1" x14ac:dyDescent="0.4">
      <c r="A318" s="3" t="str">
        <f t="shared" si="18"/>
        <v>資管系</v>
      </c>
      <c r="B318" s="3" t="str">
        <f>"尚孝純"</f>
        <v>尚孝純</v>
      </c>
      <c r="C318" s="3">
        <v>1</v>
      </c>
      <c r="D318" s="3"/>
      <c r="E318" s="3"/>
      <c r="F318" s="3"/>
      <c r="G318" s="3"/>
    </row>
    <row r="319" spans="1:7" hidden="1" x14ac:dyDescent="0.4">
      <c r="A319" s="3" t="str">
        <f t="shared" si="18"/>
        <v>資管系</v>
      </c>
      <c r="B319" s="3" t="str">
        <f>"陳恭"</f>
        <v>陳恭</v>
      </c>
      <c r="C319" s="3">
        <v>1</v>
      </c>
      <c r="D319" s="3"/>
      <c r="E319" s="3"/>
      <c r="F319" s="3"/>
      <c r="G319" s="3"/>
    </row>
    <row r="320" spans="1:7" hidden="1" x14ac:dyDescent="0.4">
      <c r="A320" s="3" t="str">
        <f t="shared" si="18"/>
        <v>資管系</v>
      </c>
      <c r="B320" s="3" t="str">
        <f>"洪為璽"</f>
        <v>洪為璽</v>
      </c>
      <c r="C320" s="3">
        <v>1</v>
      </c>
      <c r="D320" s="3"/>
      <c r="E320" s="3"/>
      <c r="F320" s="3"/>
      <c r="G320" s="3"/>
    </row>
    <row r="321" spans="1:7" hidden="1" x14ac:dyDescent="0.4">
      <c r="A321" s="3" t="str">
        <f t="shared" si="18"/>
        <v>資管系</v>
      </c>
      <c r="B321" s="3" t="str">
        <f>"郁方"</f>
        <v>郁方</v>
      </c>
      <c r="C321" s="3">
        <v>1</v>
      </c>
      <c r="D321" s="3"/>
      <c r="E321" s="3"/>
      <c r="F321" s="3"/>
      <c r="G321" s="3"/>
    </row>
    <row r="322" spans="1:7" hidden="1" x14ac:dyDescent="0.4">
      <c r="A322" s="3" t="str">
        <f t="shared" si="18"/>
        <v>資管系</v>
      </c>
      <c r="B322" s="3" t="str">
        <f>"周彥君"</f>
        <v>周彥君</v>
      </c>
      <c r="C322" s="3">
        <v>1</v>
      </c>
      <c r="D322" s="3"/>
      <c r="E322" s="3"/>
      <c r="F322" s="3"/>
      <c r="G322" s="3"/>
    </row>
    <row r="323" spans="1:7" hidden="1" x14ac:dyDescent="0.4">
      <c r="A323" s="3" t="str">
        <f t="shared" si="18"/>
        <v>資管系</v>
      </c>
      <c r="B323" s="3" t="str">
        <f>"莊皓鈞"</f>
        <v>莊皓鈞</v>
      </c>
      <c r="C323" s="3">
        <v>2</v>
      </c>
      <c r="D323" s="3"/>
      <c r="E323" s="3"/>
      <c r="F323" s="3">
        <v>4</v>
      </c>
      <c r="G323" s="3" t="s">
        <v>120</v>
      </c>
    </row>
    <row r="324" spans="1:7" hidden="1" x14ac:dyDescent="0.4">
      <c r="A324" s="3" t="str">
        <f t="shared" si="18"/>
        <v>資管系</v>
      </c>
      <c r="B324" s="3" t="str">
        <f>"杜雨儒"</f>
        <v>杜雨儒</v>
      </c>
      <c r="C324" s="3">
        <v>1</v>
      </c>
      <c r="D324" s="3"/>
      <c r="E324" s="3"/>
      <c r="F324" s="3"/>
      <c r="G324" s="3"/>
    </row>
    <row r="325" spans="1:7" hidden="1" x14ac:dyDescent="0.4">
      <c r="A325" s="3" t="str">
        <f t="shared" si="18"/>
        <v>資管系</v>
      </c>
      <c r="B325" s="3" t="str">
        <f>"林怡伶"</f>
        <v>林怡伶</v>
      </c>
      <c r="C325" s="3">
        <v>1</v>
      </c>
      <c r="D325" s="3"/>
      <c r="E325" s="3"/>
      <c r="F325" s="3"/>
      <c r="G325" s="3"/>
    </row>
    <row r="326" spans="1:7" hidden="1" x14ac:dyDescent="0.4">
      <c r="A326" s="3" t="str">
        <f t="shared" si="18"/>
        <v>資管系</v>
      </c>
      <c r="B326" s="3" t="str">
        <f>"李怡慧"</f>
        <v>李怡慧</v>
      </c>
      <c r="C326" s="3">
        <v>1</v>
      </c>
      <c r="D326" s="3"/>
      <c r="E326" s="3"/>
      <c r="F326" s="3"/>
      <c r="G326" s="3"/>
    </row>
    <row r="327" spans="1:7" hidden="1" x14ac:dyDescent="0.4">
      <c r="A327" s="3" t="str">
        <f t="shared" si="18"/>
        <v>資管系</v>
      </c>
      <c r="B327" s="3" t="str">
        <f>"蕭舜文"</f>
        <v>蕭舜文</v>
      </c>
      <c r="C327" s="3">
        <v>2</v>
      </c>
      <c r="D327" s="3" t="s">
        <v>114</v>
      </c>
      <c r="E327" s="3" t="s">
        <v>115</v>
      </c>
      <c r="F327" s="3">
        <v>4</v>
      </c>
      <c r="G327" s="3" t="s">
        <v>116</v>
      </c>
    </row>
    <row r="328" spans="1:7" hidden="1" x14ac:dyDescent="0.4">
      <c r="A328" s="3" t="str">
        <f t="shared" si="18"/>
        <v>資管系</v>
      </c>
      <c r="B328" s="3" t="str">
        <f>"簡士鎰"</f>
        <v>簡士鎰</v>
      </c>
      <c r="C328" s="3">
        <v>2</v>
      </c>
      <c r="D328" s="3" t="s">
        <v>88</v>
      </c>
      <c r="E328" s="3"/>
      <c r="F328" s="3">
        <v>1</v>
      </c>
      <c r="G328" s="3"/>
    </row>
    <row r="329" spans="1:7" hidden="1" x14ac:dyDescent="0.4">
      <c r="A329" s="3" t="str">
        <f t="shared" si="18"/>
        <v>資管系</v>
      </c>
      <c r="B329" s="3" t="str">
        <f>"周致遠"</f>
        <v>周致遠</v>
      </c>
      <c r="C329" s="3">
        <v>2</v>
      </c>
      <c r="D329" s="3"/>
      <c r="E329" s="3"/>
      <c r="F329" s="3">
        <v>4</v>
      </c>
      <c r="G329" s="3" t="s">
        <v>112</v>
      </c>
    </row>
    <row r="330" spans="1:7" hidden="1" x14ac:dyDescent="0.4">
      <c r="A330" s="3" t="str">
        <f t="shared" ref="A330:A340" si="19">"財管系"</f>
        <v>財管系</v>
      </c>
      <c r="B330" s="3" t="str">
        <f>"陳嬿如"</f>
        <v>陳嬿如</v>
      </c>
      <c r="C330" s="3">
        <v>2</v>
      </c>
      <c r="D330" s="3" t="s">
        <v>118</v>
      </c>
      <c r="E330" s="3" t="s">
        <v>119</v>
      </c>
      <c r="F330" s="3">
        <v>4</v>
      </c>
      <c r="G330" s="3" t="s">
        <v>121</v>
      </c>
    </row>
    <row r="331" spans="1:7" hidden="1" x14ac:dyDescent="0.4">
      <c r="A331" s="3" t="str">
        <f t="shared" si="19"/>
        <v>財管系</v>
      </c>
      <c r="B331" s="3" t="str">
        <f>"盧敬植"</f>
        <v>盧敬植</v>
      </c>
      <c r="C331" s="3">
        <v>1</v>
      </c>
      <c r="D331" s="3"/>
      <c r="E331" s="3"/>
      <c r="F331" s="3"/>
      <c r="G331" s="3"/>
    </row>
    <row r="332" spans="1:7" hidden="1" x14ac:dyDescent="0.4">
      <c r="A332" s="3" t="str">
        <f t="shared" si="19"/>
        <v>財管系</v>
      </c>
      <c r="B332" s="3" t="str">
        <f>"陳鴻毅"</f>
        <v>陳鴻毅</v>
      </c>
      <c r="C332" s="3">
        <v>1</v>
      </c>
      <c r="D332" s="3"/>
      <c r="E332" s="3"/>
      <c r="F332" s="3"/>
      <c r="G332" s="3"/>
    </row>
    <row r="333" spans="1:7" hidden="1" x14ac:dyDescent="0.4">
      <c r="A333" s="3" t="str">
        <f t="shared" si="19"/>
        <v>財管系</v>
      </c>
      <c r="B333" s="3" t="str">
        <f>"岳夢蘭"</f>
        <v>岳夢蘭</v>
      </c>
      <c r="C333" s="3">
        <v>1</v>
      </c>
      <c r="D333" s="3"/>
      <c r="E333" s="3"/>
      <c r="F333" s="3"/>
      <c r="G333" s="3"/>
    </row>
    <row r="334" spans="1:7" hidden="1" x14ac:dyDescent="0.4">
      <c r="A334" s="3" t="str">
        <f t="shared" si="19"/>
        <v>財管系</v>
      </c>
      <c r="B334" s="3" t="str">
        <f>"吳啟銘"</f>
        <v>吳啟銘</v>
      </c>
      <c r="C334" s="3">
        <v>1</v>
      </c>
      <c r="D334" s="3"/>
      <c r="E334" s="3"/>
      <c r="F334" s="3"/>
      <c r="G334" s="3"/>
    </row>
    <row r="335" spans="1:7" hidden="1" x14ac:dyDescent="0.4">
      <c r="A335" s="3" t="str">
        <f t="shared" si="19"/>
        <v>財管系</v>
      </c>
      <c r="B335" s="3" t="str">
        <f>"李志宏"</f>
        <v>李志宏</v>
      </c>
      <c r="C335" s="3">
        <v>1</v>
      </c>
      <c r="D335" s="3"/>
      <c r="E335" s="3"/>
      <c r="F335" s="3"/>
      <c r="G335" s="3"/>
    </row>
    <row r="336" spans="1:7" hidden="1" x14ac:dyDescent="0.4">
      <c r="A336" s="3" t="str">
        <f t="shared" si="19"/>
        <v>財管系</v>
      </c>
      <c r="B336" s="3" t="str">
        <f>"湛可南"</f>
        <v>湛可南</v>
      </c>
      <c r="C336" s="3">
        <v>1</v>
      </c>
      <c r="D336" s="3"/>
      <c r="E336" s="3"/>
      <c r="F336" s="3"/>
      <c r="G336" s="3"/>
    </row>
    <row r="337" spans="1:7" hidden="1" x14ac:dyDescent="0.4">
      <c r="A337" s="3" t="str">
        <f t="shared" si="19"/>
        <v>財管系</v>
      </c>
      <c r="B337" s="3" t="str">
        <f>"黃嘉威"</f>
        <v>黃嘉威</v>
      </c>
      <c r="C337" s="3">
        <v>1</v>
      </c>
      <c r="D337" s="3"/>
      <c r="E337" s="3"/>
      <c r="F337" s="3"/>
      <c r="G337" s="3"/>
    </row>
    <row r="338" spans="1:7" hidden="1" x14ac:dyDescent="0.4">
      <c r="A338" s="3" t="str">
        <f t="shared" si="19"/>
        <v>財管系</v>
      </c>
      <c r="B338" s="3" t="str">
        <f>"陳明吉"</f>
        <v>陳明吉</v>
      </c>
      <c r="C338" s="3">
        <v>1</v>
      </c>
      <c r="D338" s="3"/>
      <c r="E338" s="3"/>
      <c r="F338" s="3"/>
      <c r="G338" s="3"/>
    </row>
    <row r="339" spans="1:7" hidden="1" x14ac:dyDescent="0.4">
      <c r="A339" s="3" t="str">
        <f t="shared" si="19"/>
        <v>財管系</v>
      </c>
      <c r="B339" s="3" t="str">
        <f>"車倫周"</f>
        <v>車倫周</v>
      </c>
      <c r="C339" s="3">
        <v>1</v>
      </c>
      <c r="D339" s="3"/>
      <c r="E339" s="3"/>
      <c r="F339" s="3"/>
      <c r="G339" s="3"/>
    </row>
    <row r="340" spans="1:7" hidden="1" x14ac:dyDescent="0.4">
      <c r="A340" s="3" t="str">
        <f t="shared" si="19"/>
        <v>財管系</v>
      </c>
      <c r="B340" s="3" t="s">
        <v>117</v>
      </c>
      <c r="C340" s="3">
        <v>1</v>
      </c>
      <c r="D340" s="3"/>
      <c r="E340" s="3"/>
      <c r="F340" s="3"/>
      <c r="G340" s="3"/>
    </row>
    <row r="341" spans="1:7" hidden="1" x14ac:dyDescent="0.4">
      <c r="A341" s="1" t="str">
        <f t="shared" ref="A341:A348" si="20">"風管系"</f>
        <v>風管系</v>
      </c>
      <c r="B341" s="1" t="str">
        <f>"彭金隆"</f>
        <v>彭金隆</v>
      </c>
    </row>
    <row r="342" spans="1:7" hidden="1" x14ac:dyDescent="0.4">
      <c r="A342" s="3" t="str">
        <f t="shared" si="20"/>
        <v>風管系</v>
      </c>
      <c r="B342" s="3" t="str">
        <f>"蔡政憲"</f>
        <v>蔡政憲</v>
      </c>
      <c r="C342" s="3">
        <v>1</v>
      </c>
      <c r="D342" s="3"/>
      <c r="E342" s="3"/>
      <c r="F342" s="3"/>
      <c r="G342" s="3"/>
    </row>
    <row r="343" spans="1:7" hidden="1" x14ac:dyDescent="0.4">
      <c r="A343" s="1" t="str">
        <f t="shared" si="20"/>
        <v>風管系</v>
      </c>
      <c r="B343" s="1" t="str">
        <f>"黃泓智"</f>
        <v>黃泓智</v>
      </c>
    </row>
    <row r="344" spans="1:7" hidden="1" x14ac:dyDescent="0.4">
      <c r="A344" s="1" t="str">
        <f t="shared" si="20"/>
        <v>風管系</v>
      </c>
      <c r="B344" s="1" t="str">
        <f>"王正偉"</f>
        <v>王正偉</v>
      </c>
    </row>
    <row r="345" spans="1:7" hidden="1" x14ac:dyDescent="0.4">
      <c r="A345" s="1" t="str">
        <f t="shared" si="20"/>
        <v>風管系</v>
      </c>
      <c r="B345" s="1" t="str">
        <f>"林建智"</f>
        <v>林建智</v>
      </c>
    </row>
    <row r="346" spans="1:7" hidden="1" x14ac:dyDescent="0.4">
      <c r="A346" s="1" t="str">
        <f t="shared" si="20"/>
        <v>風管系</v>
      </c>
      <c r="B346" s="1" t="str">
        <f>"王儷玲"</f>
        <v>王儷玲</v>
      </c>
    </row>
    <row r="347" spans="1:7" hidden="1" x14ac:dyDescent="0.4">
      <c r="A347" s="1" t="str">
        <f t="shared" si="20"/>
        <v>風管系</v>
      </c>
      <c r="B347" s="1" t="str">
        <f>"謝明華"</f>
        <v>謝明華</v>
      </c>
    </row>
    <row r="348" spans="1:7" hidden="1" x14ac:dyDescent="0.4">
      <c r="A348" s="1" t="str">
        <f t="shared" si="20"/>
        <v>風管系</v>
      </c>
      <c r="B348" s="1" t="str">
        <f>"陳俊元"</f>
        <v>陳俊元</v>
      </c>
    </row>
    <row r="349" spans="1:7" hidden="1" x14ac:dyDescent="0.4">
      <c r="A349" s="1" t="str">
        <f>"企研所"</f>
        <v>企研所</v>
      </c>
      <c r="B349" s="1" t="str">
        <f>"胡昌亞"</f>
        <v>胡昌亞</v>
      </c>
    </row>
    <row r="350" spans="1:7" hidden="1" x14ac:dyDescent="0.4">
      <c r="A350" s="1" t="str">
        <f>"企研所"</f>
        <v>企研所</v>
      </c>
      <c r="B350" s="1" t="str">
        <f>"彭朱如"</f>
        <v>彭朱如</v>
      </c>
    </row>
    <row r="351" spans="1:7" hidden="1" x14ac:dyDescent="0.4">
      <c r="A351" s="1" t="str">
        <f>"企研所"</f>
        <v>企研所</v>
      </c>
      <c r="B351" s="1" t="str">
        <f>"白佩玉"</f>
        <v>白佩玉</v>
      </c>
    </row>
    <row r="352" spans="1:7" hidden="1" x14ac:dyDescent="0.4">
      <c r="A352" s="1" t="str">
        <f t="shared" ref="A352:A360" si="21">"科管智財所"</f>
        <v>科管智財所</v>
      </c>
      <c r="B352" s="1" t="str">
        <f>"楊宗翰"</f>
        <v>楊宗翰</v>
      </c>
    </row>
    <row r="353" spans="1:7" hidden="1" x14ac:dyDescent="0.4">
      <c r="A353" s="1" t="str">
        <f t="shared" si="21"/>
        <v>科管智財所</v>
      </c>
      <c r="B353" s="1" t="str">
        <f>"宋皇志"</f>
        <v>宋皇志</v>
      </c>
    </row>
    <row r="354" spans="1:7" hidden="1" x14ac:dyDescent="0.4">
      <c r="A354" s="1" t="str">
        <f t="shared" si="21"/>
        <v>科管智財所</v>
      </c>
      <c r="B354" s="1" t="str">
        <f>"柯玉佳"</f>
        <v>柯玉佳</v>
      </c>
    </row>
    <row r="355" spans="1:7" hidden="1" x14ac:dyDescent="0.4">
      <c r="A355" s="1" t="str">
        <f t="shared" si="21"/>
        <v>科管智財所</v>
      </c>
      <c r="B355" s="1" t="str">
        <f>"陳秉訓"</f>
        <v>陳秉訓</v>
      </c>
    </row>
    <row r="356" spans="1:7" hidden="1" x14ac:dyDescent="0.4">
      <c r="A356" s="1" t="str">
        <f t="shared" si="21"/>
        <v>科管智財所</v>
      </c>
      <c r="B356" s="1" t="str">
        <f>"蕭瑞麟"</f>
        <v>蕭瑞麟</v>
      </c>
    </row>
    <row r="357" spans="1:7" hidden="1" x14ac:dyDescent="0.4">
      <c r="A357" s="1" t="str">
        <f t="shared" si="21"/>
        <v>科管智財所</v>
      </c>
      <c r="B357" s="1" t="str">
        <f>"鄭菀瓊"</f>
        <v>鄭菀瓊</v>
      </c>
    </row>
    <row r="358" spans="1:7" hidden="1" x14ac:dyDescent="0.4">
      <c r="A358" s="1" t="str">
        <f t="shared" si="21"/>
        <v>科管智財所</v>
      </c>
      <c r="B358" s="1" t="str">
        <f>"鄭至甫"</f>
        <v>鄭至甫</v>
      </c>
    </row>
    <row r="359" spans="1:7" hidden="1" x14ac:dyDescent="0.4">
      <c r="A359" s="1" t="str">
        <f t="shared" si="21"/>
        <v>科管智財所</v>
      </c>
      <c r="B359" s="1" t="str">
        <f>"許牧彥"</f>
        <v>許牧彥</v>
      </c>
    </row>
    <row r="360" spans="1:7" hidden="1" x14ac:dyDescent="0.4">
      <c r="A360" s="1" t="str">
        <f t="shared" si="21"/>
        <v>科管智財所</v>
      </c>
      <c r="B360" s="1" t="str">
        <f>"張瑜倩"</f>
        <v>張瑜倩</v>
      </c>
    </row>
    <row r="361" spans="1:7" hidden="1" x14ac:dyDescent="0.4">
      <c r="A361" s="1" t="str">
        <f>"商管碩"</f>
        <v>商管碩</v>
      </c>
      <c r="B361" s="1" t="str">
        <f>"胡昌亞"</f>
        <v>胡昌亞</v>
      </c>
    </row>
    <row r="362" spans="1:7" hidden="1" x14ac:dyDescent="0.4">
      <c r="A362" s="1" t="str">
        <f>"傳播學"</f>
        <v>傳播學</v>
      </c>
      <c r="B362" s="1" t="str">
        <f>"陳憶寧"</f>
        <v>陳憶寧</v>
      </c>
    </row>
    <row r="363" spans="1:7" hidden="1" x14ac:dyDescent="0.4">
      <c r="A363" s="1" t="str">
        <f>"新聞系"</f>
        <v>新聞系</v>
      </c>
      <c r="B363" s="1" t="str">
        <f>"劉慧雯"</f>
        <v>劉慧雯</v>
      </c>
    </row>
    <row r="364" spans="1:7" hidden="1" x14ac:dyDescent="0.4">
      <c r="A364" s="3" t="str">
        <f>"新聞系"</f>
        <v>新聞系</v>
      </c>
      <c r="B364" s="3" t="str">
        <f>"馮建三"</f>
        <v>馮建三</v>
      </c>
      <c r="C364" s="3">
        <v>2</v>
      </c>
      <c r="D364" s="3"/>
      <c r="E364" s="3"/>
      <c r="F364" s="3">
        <v>4</v>
      </c>
      <c r="G364" s="3" t="s">
        <v>122</v>
      </c>
    </row>
    <row r="365" spans="1:7" hidden="1" x14ac:dyDescent="0.4">
      <c r="A365" s="3" t="str">
        <f>"新聞系"</f>
        <v>新聞系</v>
      </c>
      <c r="B365" s="3" t="str">
        <f>"柯裕棻"</f>
        <v>柯裕棻</v>
      </c>
      <c r="C365" s="3">
        <v>2</v>
      </c>
      <c r="D365" s="3"/>
      <c r="E365" s="3"/>
      <c r="F365" s="3">
        <v>4</v>
      </c>
      <c r="G365" s="3" t="s">
        <v>122</v>
      </c>
    </row>
    <row r="366" spans="1:7" hidden="1" x14ac:dyDescent="0.4">
      <c r="A366" s="1" t="str">
        <f>"新聞系"</f>
        <v>新聞系</v>
      </c>
      <c r="B366" s="1" t="str">
        <f>"江靜之"</f>
        <v>江靜之</v>
      </c>
    </row>
    <row r="367" spans="1:7" hidden="1" x14ac:dyDescent="0.4">
      <c r="A367" s="1" t="str">
        <f t="shared" ref="A367:A372" si="22">"廣告系"</f>
        <v>廣告系</v>
      </c>
      <c r="B367" s="1" t="str">
        <f>"劉俐華"</f>
        <v>劉俐華</v>
      </c>
    </row>
    <row r="368" spans="1:7" hidden="1" x14ac:dyDescent="0.4">
      <c r="A368" s="1" t="str">
        <f t="shared" si="22"/>
        <v>廣告系</v>
      </c>
      <c r="B368" s="1" t="str">
        <f>"張郁敏"</f>
        <v>張郁敏</v>
      </c>
    </row>
    <row r="369" spans="1:7" hidden="1" x14ac:dyDescent="0.4">
      <c r="A369" s="1" t="str">
        <f t="shared" si="22"/>
        <v>廣告系</v>
      </c>
      <c r="B369" s="1" t="str">
        <f>"吳岳剛"</f>
        <v>吳岳剛</v>
      </c>
    </row>
    <row r="370" spans="1:7" hidden="1" x14ac:dyDescent="0.4">
      <c r="A370" s="1" t="str">
        <f t="shared" si="22"/>
        <v>廣告系</v>
      </c>
      <c r="B370" s="1" t="str">
        <f>"鄭怡卉"</f>
        <v>鄭怡卉</v>
      </c>
    </row>
    <row r="371" spans="1:7" hidden="1" x14ac:dyDescent="0.4">
      <c r="A371" s="1" t="str">
        <f t="shared" si="22"/>
        <v>廣告系</v>
      </c>
      <c r="B371" s="1" t="str">
        <f>"林芝璇"</f>
        <v>林芝璇</v>
      </c>
    </row>
    <row r="372" spans="1:7" hidden="1" x14ac:dyDescent="0.4">
      <c r="A372" s="1" t="str">
        <f t="shared" si="22"/>
        <v>廣告系</v>
      </c>
      <c r="B372" s="1" t="str">
        <f>"孫秀蕙"</f>
        <v>孫秀蕙</v>
      </c>
    </row>
    <row r="373" spans="1:7" hidden="1" x14ac:dyDescent="0.4">
      <c r="A373" s="1" t="str">
        <f t="shared" ref="A373:A378" si="23">"廣電系"</f>
        <v>廣電系</v>
      </c>
      <c r="B373" s="1" t="str">
        <f>"陳儒修"</f>
        <v>陳儒修</v>
      </c>
    </row>
    <row r="374" spans="1:7" hidden="1" x14ac:dyDescent="0.4">
      <c r="A374" s="1" t="str">
        <f t="shared" si="23"/>
        <v>廣電系</v>
      </c>
      <c r="B374" s="1" t="str">
        <f>"許瓊文"</f>
        <v>許瓊文</v>
      </c>
    </row>
    <row r="375" spans="1:7" hidden="1" x14ac:dyDescent="0.4">
      <c r="A375" s="1" t="str">
        <f t="shared" si="23"/>
        <v>廣電系</v>
      </c>
      <c r="B375" s="1" t="str">
        <f>"曾國峰"</f>
        <v>曾國峰</v>
      </c>
    </row>
    <row r="376" spans="1:7" hidden="1" x14ac:dyDescent="0.4">
      <c r="A376" s="1" t="str">
        <f t="shared" si="23"/>
        <v>廣電系</v>
      </c>
      <c r="B376" s="1" t="str">
        <f>"王亞維"</f>
        <v>王亞維</v>
      </c>
    </row>
    <row r="377" spans="1:7" hidden="1" x14ac:dyDescent="0.4">
      <c r="A377" s="1" t="str">
        <f t="shared" si="23"/>
        <v>廣電系</v>
      </c>
      <c r="B377" s="1" t="str">
        <f>"吳俊輝"</f>
        <v>吳俊輝</v>
      </c>
    </row>
    <row r="378" spans="1:7" hidden="1" x14ac:dyDescent="0.4">
      <c r="A378" s="1" t="str">
        <f t="shared" si="23"/>
        <v>廣電系</v>
      </c>
      <c r="B378" s="1" t="str">
        <f>"許志堅"</f>
        <v>許志堅</v>
      </c>
    </row>
    <row r="379" spans="1:7" hidden="1" x14ac:dyDescent="0.4">
      <c r="A379" s="3" t="str">
        <f t="shared" ref="A379:A386" si="24">"傳院不分系"</f>
        <v>傳院不分系</v>
      </c>
      <c r="B379" s="3" t="str">
        <f>"王淑美"</f>
        <v>王淑美</v>
      </c>
      <c r="C379" s="3">
        <v>1</v>
      </c>
      <c r="D379" s="3"/>
      <c r="E379" s="3"/>
      <c r="F379" s="3"/>
      <c r="G379" s="3"/>
    </row>
    <row r="380" spans="1:7" hidden="1" x14ac:dyDescent="0.4">
      <c r="A380" s="1" t="str">
        <f t="shared" si="24"/>
        <v>傳院不分系</v>
      </c>
      <c r="B380" s="1" t="str">
        <f>"劉昌德"</f>
        <v>劉昌德</v>
      </c>
    </row>
    <row r="381" spans="1:7" hidden="1" x14ac:dyDescent="0.4">
      <c r="A381" s="3" t="str">
        <f t="shared" si="24"/>
        <v>傳院不分系</v>
      </c>
      <c r="B381" s="3" t="str">
        <f>"陳文玲"</f>
        <v>陳文玲</v>
      </c>
      <c r="C381" s="3">
        <v>1</v>
      </c>
      <c r="D381" s="3"/>
      <c r="E381" s="3"/>
      <c r="F381" s="3"/>
      <c r="G381" s="3"/>
    </row>
    <row r="382" spans="1:7" hidden="1" x14ac:dyDescent="0.4">
      <c r="A382" s="3" t="str">
        <f t="shared" si="24"/>
        <v>傳院不分系</v>
      </c>
      <c r="B382" s="3" t="str">
        <f>"鄭宇君"</f>
        <v>鄭宇君</v>
      </c>
      <c r="C382" s="3">
        <v>1</v>
      </c>
      <c r="D382" s="3"/>
      <c r="E382" s="3"/>
      <c r="F382" s="3"/>
      <c r="G382" s="3"/>
    </row>
    <row r="383" spans="1:7" hidden="1" x14ac:dyDescent="0.4">
      <c r="A383" s="3" t="str">
        <f t="shared" si="24"/>
        <v>傳院不分系</v>
      </c>
      <c r="B383" s="3" t="str">
        <f>"林怡潔"</f>
        <v>林怡潔</v>
      </c>
      <c r="C383" s="3">
        <v>1</v>
      </c>
      <c r="D383" s="3"/>
      <c r="E383" s="3"/>
      <c r="F383" s="3"/>
      <c r="G383" s="3"/>
    </row>
    <row r="384" spans="1:7" hidden="1" x14ac:dyDescent="0.4">
      <c r="A384" s="3" t="str">
        <f t="shared" si="24"/>
        <v>傳院不分系</v>
      </c>
      <c r="B384" s="3" t="str">
        <f>"韓義興"</f>
        <v>韓義興</v>
      </c>
      <c r="C384" s="3">
        <v>1</v>
      </c>
      <c r="D384" s="3"/>
      <c r="E384" s="3"/>
      <c r="F384" s="3"/>
      <c r="G384" s="3"/>
    </row>
    <row r="385" spans="1:7" hidden="1" x14ac:dyDescent="0.4">
      <c r="A385" s="3" t="str">
        <f t="shared" si="24"/>
        <v>傳院不分系</v>
      </c>
      <c r="B385" s="3" t="str">
        <f>"黃俊銘"</f>
        <v>黃俊銘</v>
      </c>
      <c r="C385" s="3">
        <v>1</v>
      </c>
      <c r="D385" s="3"/>
      <c r="E385" s="3"/>
      <c r="F385" s="3"/>
      <c r="G385" s="3"/>
    </row>
    <row r="386" spans="1:7" hidden="1" x14ac:dyDescent="0.4">
      <c r="A386" s="3" t="str">
        <f t="shared" si="24"/>
        <v>傳院不分系</v>
      </c>
      <c r="B386" s="3" t="str">
        <f>"謝杰廷"</f>
        <v>謝杰廷</v>
      </c>
      <c r="C386" s="3">
        <v>1</v>
      </c>
      <c r="D386" s="3"/>
      <c r="E386" s="3"/>
      <c r="F386" s="3"/>
      <c r="G386" s="3"/>
    </row>
    <row r="387" spans="1:7" hidden="1" x14ac:dyDescent="0.4">
      <c r="A387" s="1" t="str">
        <f>"國傳碩學程"</f>
        <v>國傳碩學程</v>
      </c>
      <c r="B387" s="1" t="str">
        <f>"林日璇"</f>
        <v>林日璇</v>
      </c>
    </row>
    <row r="388" spans="1:7" hidden="1" x14ac:dyDescent="0.4">
      <c r="A388" s="1" t="str">
        <f>"國傳碩學程"</f>
        <v>國傳碩學程</v>
      </c>
      <c r="B388" s="1" t="str">
        <f>"康庭瑜"</f>
        <v>康庭瑜</v>
      </c>
    </row>
    <row r="389" spans="1:7" hidden="1" x14ac:dyDescent="0.4">
      <c r="A389" s="1" t="str">
        <f>"國傳碩學程"</f>
        <v>國傳碩學程</v>
      </c>
      <c r="B389" s="1" t="str">
        <f>"施琮仁"</f>
        <v>施琮仁</v>
      </c>
    </row>
    <row r="390" spans="1:7" hidden="1" x14ac:dyDescent="0.4">
      <c r="A390" s="3" t="str">
        <f>"數位碩學程"</f>
        <v>數位碩學程</v>
      </c>
      <c r="B390" s="3" t="str">
        <f>"陶亞倫"</f>
        <v>陶亞倫</v>
      </c>
      <c r="C390" s="3">
        <v>2</v>
      </c>
      <c r="D390" s="3" t="s">
        <v>123</v>
      </c>
      <c r="E390" s="3" t="s">
        <v>124</v>
      </c>
      <c r="F390" s="3">
        <v>4</v>
      </c>
      <c r="G390" s="3"/>
    </row>
    <row r="391" spans="1:7" hidden="1" x14ac:dyDescent="0.4">
      <c r="A391" s="3" t="str">
        <f>"數位碩學程"</f>
        <v>數位碩學程</v>
      </c>
      <c r="B391" s="3" t="str">
        <f>"廖峻鋒"</f>
        <v>廖峻鋒</v>
      </c>
      <c r="C391" s="3">
        <v>1</v>
      </c>
      <c r="D391" s="3"/>
      <c r="E391" s="3"/>
      <c r="F391" s="3"/>
      <c r="G391" s="3"/>
    </row>
    <row r="392" spans="1:7" hidden="1" x14ac:dyDescent="0.4">
      <c r="A392" s="3" t="str">
        <f>"數位碩學程"</f>
        <v>數位碩學程</v>
      </c>
      <c r="B392" s="3" t="str">
        <f>"陳宜秀"</f>
        <v>陳宜秀</v>
      </c>
      <c r="C392" s="3">
        <v>2</v>
      </c>
      <c r="D392" s="3" t="s">
        <v>125</v>
      </c>
      <c r="E392" s="3" t="s">
        <v>126</v>
      </c>
      <c r="F392" s="3">
        <v>4</v>
      </c>
      <c r="G392" s="3" t="s">
        <v>127</v>
      </c>
    </row>
    <row r="393" spans="1:7" hidden="1" x14ac:dyDescent="0.4">
      <c r="A393" s="3" t="str">
        <f>"數位碩學程"</f>
        <v>數位碩學程</v>
      </c>
      <c r="B393" s="3" t="str">
        <f>"蔡欣叡"</f>
        <v>蔡欣叡</v>
      </c>
      <c r="C393" s="3">
        <v>1</v>
      </c>
      <c r="D393" s="3"/>
      <c r="E393" s="3"/>
      <c r="F393" s="3"/>
      <c r="G393" s="3"/>
    </row>
    <row r="394" spans="1:7" hidden="1" x14ac:dyDescent="0.4">
      <c r="A394" s="3" t="str">
        <f>"傳院博班"</f>
        <v>傳院博班</v>
      </c>
      <c r="B394" s="3" t="str">
        <f>"劉慧雯"</f>
        <v>劉慧雯</v>
      </c>
      <c r="C394" s="3">
        <v>1</v>
      </c>
      <c r="D394" s="3"/>
      <c r="E394" s="3"/>
      <c r="F394" s="3"/>
      <c r="G394" s="3"/>
    </row>
    <row r="395" spans="1:7" hidden="1" x14ac:dyDescent="0.4">
      <c r="A395" s="3" t="str">
        <f>"傳播碩士學程"</f>
        <v>傳播碩士學程</v>
      </c>
      <c r="B395" s="3" t="str">
        <f>"黃葳威"</f>
        <v>黃葳威</v>
      </c>
      <c r="C395" s="3">
        <v>3</v>
      </c>
      <c r="D395" s="3" t="s">
        <v>128</v>
      </c>
      <c r="E395" s="3" t="s">
        <v>129</v>
      </c>
      <c r="F395" s="3">
        <v>4</v>
      </c>
      <c r="G395" s="3" t="s">
        <v>127</v>
      </c>
    </row>
    <row r="396" spans="1:7" hidden="1" x14ac:dyDescent="0.4">
      <c r="A396" s="3" t="str">
        <f>"傳播碩士學程"</f>
        <v>傳播碩士學程</v>
      </c>
      <c r="B396" s="3" t="str">
        <f>"林淑芳"</f>
        <v>林淑芳</v>
      </c>
      <c r="C396" s="3">
        <v>1</v>
      </c>
      <c r="D396" s="3"/>
      <c r="E396" s="3"/>
      <c r="F396" s="3"/>
      <c r="G396" s="3"/>
    </row>
    <row r="397" spans="1:7" hidden="1" x14ac:dyDescent="0.4">
      <c r="A397" s="3" t="str">
        <f>"傳播碩士學程"</f>
        <v>傳播碩士學程</v>
      </c>
      <c r="B397" s="3" t="str">
        <f>"張郁敏"</f>
        <v>張郁敏</v>
      </c>
      <c r="C397" s="3">
        <v>2</v>
      </c>
      <c r="D397" s="3"/>
      <c r="E397" s="3"/>
      <c r="F397" s="3">
        <v>4</v>
      </c>
      <c r="G397" s="3" t="s">
        <v>127</v>
      </c>
    </row>
    <row r="398" spans="1:7" hidden="1" x14ac:dyDescent="0.4">
      <c r="A398" s="3" t="str">
        <f>"傳播碩士學程"</f>
        <v>傳播碩士學程</v>
      </c>
      <c r="B398" s="3" t="str">
        <f>"盧非易"</f>
        <v>盧非易</v>
      </c>
      <c r="C398" s="3">
        <v>1</v>
      </c>
      <c r="D398" s="3"/>
      <c r="E398" s="3"/>
      <c r="F398" s="3"/>
      <c r="G398" s="3"/>
    </row>
    <row r="399" spans="1:7" hidden="1" x14ac:dyDescent="0.4">
      <c r="A399" s="1" t="str">
        <f>"傳播碩士學程"</f>
        <v>傳播碩士學程</v>
      </c>
      <c r="B399" s="1" t="str">
        <f>"方念萱"</f>
        <v>方念萱</v>
      </c>
    </row>
    <row r="400" spans="1:7" hidden="1" x14ac:dyDescent="0.4">
      <c r="A400" s="3" t="str">
        <f t="shared" ref="A400:A415" si="25">"英文系"</f>
        <v>英文系</v>
      </c>
      <c r="B400" s="3" t="str">
        <f>"許麗媛"</f>
        <v>許麗媛</v>
      </c>
      <c r="C400" s="3">
        <v>1</v>
      </c>
      <c r="D400" s="3"/>
      <c r="E400" s="3"/>
      <c r="F400" s="3"/>
      <c r="G400" s="3"/>
    </row>
    <row r="401" spans="1:7" hidden="1" x14ac:dyDescent="0.4">
      <c r="A401" s="3" t="str">
        <f t="shared" si="25"/>
        <v>英文系</v>
      </c>
      <c r="B401" s="3" t="str">
        <f>"林質心"</f>
        <v>林質心</v>
      </c>
      <c r="C401" s="3">
        <v>3</v>
      </c>
      <c r="D401" s="3" t="s">
        <v>130</v>
      </c>
      <c r="E401" s="3" t="s">
        <v>131</v>
      </c>
      <c r="F401" s="3">
        <v>4</v>
      </c>
      <c r="G401" s="3"/>
    </row>
    <row r="402" spans="1:7" hidden="1" x14ac:dyDescent="0.4">
      <c r="A402" s="3" t="str">
        <f t="shared" si="25"/>
        <v>英文系</v>
      </c>
      <c r="B402" s="3" t="str">
        <f>"吳敏華"</f>
        <v>吳敏華</v>
      </c>
      <c r="C402" s="3">
        <v>2</v>
      </c>
      <c r="D402" s="3" t="s">
        <v>132</v>
      </c>
      <c r="E402" s="3" t="s">
        <v>133</v>
      </c>
      <c r="F402" s="3">
        <v>4</v>
      </c>
      <c r="G402" s="3" t="s">
        <v>127</v>
      </c>
    </row>
    <row r="403" spans="1:7" hidden="1" x14ac:dyDescent="0.4">
      <c r="A403" s="3" t="str">
        <f t="shared" si="25"/>
        <v>英文系</v>
      </c>
      <c r="B403" s="3" t="str">
        <f>"吳易道"</f>
        <v>吳易道</v>
      </c>
      <c r="C403" s="3">
        <v>3</v>
      </c>
      <c r="D403" s="3" t="s">
        <v>134</v>
      </c>
      <c r="E403" s="3" t="s">
        <v>135</v>
      </c>
      <c r="F403" s="3">
        <v>4</v>
      </c>
      <c r="G403" s="3"/>
    </row>
    <row r="404" spans="1:7" hidden="1" x14ac:dyDescent="0.4">
      <c r="A404" s="3" t="str">
        <f t="shared" si="25"/>
        <v>英文系</v>
      </c>
      <c r="B404" s="3" t="str">
        <f>"劉怡君"</f>
        <v>劉怡君</v>
      </c>
      <c r="C404" s="3">
        <v>1</v>
      </c>
      <c r="D404" s="3"/>
      <c r="E404" s="3"/>
      <c r="F404" s="3"/>
      <c r="G404" s="3"/>
    </row>
    <row r="405" spans="1:7" hidden="1" x14ac:dyDescent="0.4">
      <c r="A405" s="3" t="str">
        <f t="shared" si="25"/>
        <v>英文系</v>
      </c>
      <c r="B405" s="3" t="str">
        <f>"趙順良"</f>
        <v>趙順良</v>
      </c>
      <c r="C405" s="3">
        <v>1</v>
      </c>
      <c r="D405" s="3"/>
      <c r="E405" s="3"/>
      <c r="F405" s="3"/>
      <c r="G405" s="3"/>
    </row>
    <row r="406" spans="1:7" hidden="1" x14ac:dyDescent="0.4">
      <c r="A406" s="3" t="str">
        <f t="shared" si="25"/>
        <v>英文系</v>
      </c>
      <c r="B406" s="3" t="str">
        <f>"薩文蕙"</f>
        <v>薩文蕙</v>
      </c>
      <c r="C406" s="3">
        <v>1</v>
      </c>
      <c r="D406" s="3"/>
      <c r="E406" s="3"/>
      <c r="F406" s="3"/>
      <c r="G406" s="3"/>
    </row>
    <row r="407" spans="1:7" hidden="1" x14ac:dyDescent="0.4">
      <c r="A407" s="3" t="str">
        <f t="shared" si="25"/>
        <v>英文系</v>
      </c>
      <c r="B407" s="3" t="str">
        <f>"許立欣"</f>
        <v>許立欣</v>
      </c>
      <c r="C407" s="3">
        <v>1</v>
      </c>
      <c r="D407" s="3"/>
      <c r="E407" s="3"/>
      <c r="F407" s="3"/>
      <c r="G407" s="3"/>
    </row>
    <row r="408" spans="1:7" hidden="1" x14ac:dyDescent="0.4">
      <c r="A408" s="3" t="str">
        <f t="shared" si="25"/>
        <v>英文系</v>
      </c>
      <c r="B408" s="3" t="str">
        <f>"徐嘉慧"</f>
        <v>徐嘉慧</v>
      </c>
      <c r="C408" s="3">
        <v>2</v>
      </c>
      <c r="D408" s="3" t="s">
        <v>136</v>
      </c>
      <c r="E408" s="3" t="s">
        <v>137</v>
      </c>
      <c r="F408" s="3">
        <v>4</v>
      </c>
      <c r="G408" s="3"/>
    </row>
    <row r="409" spans="1:7" hidden="1" x14ac:dyDescent="0.4">
      <c r="A409" s="3" t="str">
        <f t="shared" si="25"/>
        <v>英文系</v>
      </c>
      <c r="B409" s="3" t="str">
        <f>"賴惠玲"</f>
        <v>賴惠玲</v>
      </c>
      <c r="C409" s="3">
        <v>2</v>
      </c>
      <c r="D409" s="3" t="s">
        <v>138</v>
      </c>
      <c r="E409" s="3" t="s">
        <v>139</v>
      </c>
      <c r="F409" s="3">
        <v>4</v>
      </c>
      <c r="G409" s="3"/>
    </row>
    <row r="410" spans="1:7" hidden="1" x14ac:dyDescent="0.4">
      <c r="A410" s="3" t="str">
        <f t="shared" si="25"/>
        <v>英文系</v>
      </c>
      <c r="B410" s="3" t="str">
        <f>"招靜琪"</f>
        <v>招靜琪</v>
      </c>
      <c r="C410" s="3">
        <v>1</v>
      </c>
      <c r="D410" s="3"/>
      <c r="E410" s="3"/>
      <c r="F410" s="3"/>
      <c r="G410" s="3"/>
    </row>
    <row r="411" spans="1:7" hidden="1" x14ac:dyDescent="0.4">
      <c r="A411" s="3" t="str">
        <f t="shared" si="25"/>
        <v>英文系</v>
      </c>
      <c r="B411" s="3" t="str">
        <f>"邱彥彬"</f>
        <v>邱彥彬</v>
      </c>
      <c r="C411" s="3">
        <v>1</v>
      </c>
      <c r="D411" s="3"/>
      <c r="E411" s="3"/>
      <c r="F411" s="3"/>
      <c r="G411" s="3"/>
    </row>
    <row r="412" spans="1:7" hidden="1" x14ac:dyDescent="0.4">
      <c r="A412" s="3" t="str">
        <f t="shared" si="25"/>
        <v>英文系</v>
      </c>
      <c r="B412" s="3" t="str">
        <f>"鍾曉芳"</f>
        <v>鍾曉芳</v>
      </c>
      <c r="C412" s="3">
        <v>2</v>
      </c>
      <c r="D412" s="3"/>
      <c r="E412" s="3"/>
      <c r="F412" s="3">
        <v>4</v>
      </c>
      <c r="G412" s="3" t="s">
        <v>140</v>
      </c>
    </row>
    <row r="413" spans="1:7" hidden="1" x14ac:dyDescent="0.4">
      <c r="A413" s="1" t="str">
        <f t="shared" si="25"/>
        <v>英文系</v>
      </c>
      <c r="B413" s="1" t="str">
        <f>"陳音頤"</f>
        <v>陳音頤</v>
      </c>
    </row>
    <row r="414" spans="1:7" hidden="1" x14ac:dyDescent="0.4">
      <c r="A414" s="3" t="str">
        <f t="shared" si="25"/>
        <v>英文系</v>
      </c>
      <c r="B414" s="3" t="str">
        <f>"柯瑞強"</f>
        <v>柯瑞強</v>
      </c>
      <c r="C414" s="3">
        <v>1</v>
      </c>
      <c r="D414" s="3"/>
      <c r="E414" s="3"/>
      <c r="F414" s="3"/>
      <c r="G414" s="3"/>
    </row>
    <row r="415" spans="1:7" hidden="1" x14ac:dyDescent="0.4">
      <c r="A415" s="3" t="str">
        <f t="shared" si="25"/>
        <v>英文系</v>
      </c>
      <c r="B415" s="3" t="str">
        <f>"姜翠芬"</f>
        <v>姜翠芬</v>
      </c>
      <c r="C415" s="3">
        <v>1</v>
      </c>
      <c r="D415" s="3"/>
      <c r="E415" s="3"/>
      <c r="F415" s="3"/>
      <c r="G415" s="3"/>
    </row>
    <row r="416" spans="1:7" hidden="1" x14ac:dyDescent="0.4">
      <c r="A416" s="3" t="str">
        <f>"阿文系"</f>
        <v>阿文系</v>
      </c>
      <c r="B416" s="3" t="str">
        <f>"馬穆德"</f>
        <v>馬穆德</v>
      </c>
      <c r="C416" s="3">
        <v>2</v>
      </c>
      <c r="D416" s="3"/>
      <c r="E416" s="3" t="s">
        <v>143</v>
      </c>
      <c r="F416" s="3">
        <v>4</v>
      </c>
      <c r="G416" s="3" t="s">
        <v>127</v>
      </c>
    </row>
    <row r="417" spans="1:7" hidden="1" x14ac:dyDescent="0.4">
      <c r="A417" s="3" t="str">
        <f>"阿文系"</f>
        <v>阿文系</v>
      </c>
      <c r="B417" s="3" t="str">
        <f>"王經仁"</f>
        <v>王經仁</v>
      </c>
      <c r="C417" s="3">
        <v>2</v>
      </c>
      <c r="D417" s="3" t="s">
        <v>141</v>
      </c>
      <c r="E417" s="3" t="s">
        <v>142</v>
      </c>
      <c r="F417" s="3">
        <v>4</v>
      </c>
      <c r="G417" s="3"/>
    </row>
    <row r="418" spans="1:7" hidden="1" x14ac:dyDescent="0.4">
      <c r="A418" s="3" t="str">
        <f>"阿文系"</f>
        <v>阿文系</v>
      </c>
      <c r="B418" s="3" t="str">
        <f>"張景安"</f>
        <v>張景安</v>
      </c>
      <c r="C418" s="3">
        <v>2</v>
      </c>
      <c r="D418" s="3" t="s">
        <v>147</v>
      </c>
      <c r="E418" s="3" t="s">
        <v>148</v>
      </c>
      <c r="F418" s="3">
        <v>4</v>
      </c>
      <c r="G418" s="3"/>
    </row>
    <row r="419" spans="1:7" hidden="1" x14ac:dyDescent="0.4">
      <c r="A419" s="3" t="str">
        <f>"阿文系"</f>
        <v>阿文系</v>
      </c>
      <c r="B419" s="3" t="str">
        <f>"傅怡萱"</f>
        <v>傅怡萱</v>
      </c>
      <c r="C419" s="3">
        <v>2</v>
      </c>
      <c r="D419" s="3" t="s">
        <v>151</v>
      </c>
      <c r="E419" s="3" t="s">
        <v>152</v>
      </c>
      <c r="F419" s="3">
        <v>4</v>
      </c>
      <c r="G419" s="3"/>
    </row>
    <row r="420" spans="1:7" hidden="1" x14ac:dyDescent="0.4">
      <c r="A420" s="3" t="str">
        <f>"阿文系"</f>
        <v>阿文系</v>
      </c>
      <c r="B420" s="3" t="str">
        <f>"叢培臻"</f>
        <v>叢培臻</v>
      </c>
      <c r="C420" s="3">
        <v>2</v>
      </c>
      <c r="D420" s="3" t="s">
        <v>149</v>
      </c>
      <c r="E420" s="3" t="s">
        <v>150</v>
      </c>
      <c r="F420" s="3">
        <v>4</v>
      </c>
      <c r="G420" s="3"/>
    </row>
    <row r="421" spans="1:7" hidden="1" x14ac:dyDescent="0.4">
      <c r="A421" s="3"/>
      <c r="B421" s="3" t="s">
        <v>144</v>
      </c>
      <c r="C421" s="3">
        <v>2</v>
      </c>
      <c r="D421" s="3" t="s">
        <v>145</v>
      </c>
      <c r="E421" s="3" t="s">
        <v>146</v>
      </c>
      <c r="F421" s="3">
        <v>4</v>
      </c>
      <c r="G421" s="3"/>
    </row>
    <row r="422" spans="1:7" hidden="1" x14ac:dyDescent="0.4">
      <c r="A422" s="3" t="str">
        <f t="shared" ref="A422:A431" si="26">"斯語系"</f>
        <v>斯語系</v>
      </c>
      <c r="B422" s="3" t="str">
        <f>"吳佳靜"</f>
        <v>吳佳靜</v>
      </c>
      <c r="C422" s="3">
        <v>1</v>
      </c>
      <c r="D422" s="3"/>
      <c r="E422" s="3"/>
      <c r="F422" s="3"/>
      <c r="G422" s="3"/>
    </row>
    <row r="423" spans="1:7" hidden="1" x14ac:dyDescent="0.4">
      <c r="A423" s="3" t="str">
        <f t="shared" si="26"/>
        <v>斯語系</v>
      </c>
      <c r="B423" s="3" t="str">
        <f>"江慧婉"</f>
        <v>江慧婉</v>
      </c>
      <c r="C423" s="3">
        <v>1</v>
      </c>
      <c r="D423" s="3"/>
      <c r="E423" s="3"/>
      <c r="F423" s="3"/>
      <c r="G423" s="3"/>
    </row>
    <row r="424" spans="1:7" hidden="1" x14ac:dyDescent="0.4">
      <c r="A424" s="3" t="str">
        <f t="shared" si="26"/>
        <v>斯語系</v>
      </c>
      <c r="B424" s="3" t="str">
        <f>"張珮琪"</f>
        <v>張珮琪</v>
      </c>
      <c r="C424" s="3">
        <v>1</v>
      </c>
      <c r="D424" s="3"/>
      <c r="E424" s="3"/>
      <c r="F424" s="3"/>
      <c r="G424" s="3"/>
    </row>
    <row r="425" spans="1:7" hidden="1" x14ac:dyDescent="0.4">
      <c r="A425" s="3" t="str">
        <f t="shared" si="26"/>
        <v>斯語系</v>
      </c>
      <c r="B425" s="3" t="str">
        <f>"張瑞承"</f>
        <v>張瑞承</v>
      </c>
      <c r="C425" s="3">
        <v>1</v>
      </c>
      <c r="D425" s="3"/>
      <c r="E425" s="3"/>
      <c r="F425" s="3"/>
      <c r="G425" s="3"/>
    </row>
    <row r="426" spans="1:7" hidden="1" x14ac:dyDescent="0.4">
      <c r="A426" s="3" t="str">
        <f t="shared" si="26"/>
        <v>斯語系</v>
      </c>
      <c r="B426" s="3" t="str">
        <f>"劉心華"</f>
        <v>劉心華</v>
      </c>
      <c r="C426" s="3">
        <v>2</v>
      </c>
      <c r="D426" s="3" t="s">
        <v>153</v>
      </c>
      <c r="E426" s="3" t="s">
        <v>154</v>
      </c>
      <c r="F426" s="3">
        <v>4</v>
      </c>
      <c r="G426" s="3"/>
    </row>
    <row r="427" spans="1:7" hidden="1" x14ac:dyDescent="0.4">
      <c r="A427" s="3" t="str">
        <f t="shared" si="26"/>
        <v>斯語系</v>
      </c>
      <c r="B427" s="3" t="str">
        <f>"柯瓊鎣"</f>
        <v>柯瓊鎣</v>
      </c>
      <c r="C427" s="3">
        <v>1</v>
      </c>
      <c r="D427" s="3"/>
      <c r="E427" s="3"/>
      <c r="F427" s="3"/>
      <c r="G427" s="3"/>
    </row>
    <row r="428" spans="1:7" hidden="1" x14ac:dyDescent="0.4">
      <c r="A428" s="3" t="str">
        <f t="shared" si="26"/>
        <v>斯語系</v>
      </c>
      <c r="B428" s="3" t="str">
        <f>"葉相林"</f>
        <v>葉相林</v>
      </c>
      <c r="C428" s="3">
        <v>1</v>
      </c>
      <c r="D428" s="3"/>
      <c r="E428" s="3"/>
      <c r="F428" s="3"/>
      <c r="G428" s="3"/>
    </row>
    <row r="429" spans="1:7" hidden="1" x14ac:dyDescent="0.4">
      <c r="A429" s="3" t="str">
        <f t="shared" si="26"/>
        <v>斯語系</v>
      </c>
      <c r="B429" s="3" t="str">
        <f>"江杰翰"</f>
        <v>江杰翰</v>
      </c>
      <c r="C429" s="3">
        <v>1</v>
      </c>
      <c r="D429" s="3"/>
      <c r="E429" s="3"/>
      <c r="F429" s="3"/>
      <c r="G429" s="3"/>
    </row>
    <row r="430" spans="1:7" hidden="1" x14ac:dyDescent="0.4">
      <c r="A430" s="3" t="str">
        <f t="shared" si="26"/>
        <v>斯語系</v>
      </c>
      <c r="B430" s="3" t="str">
        <f>"林蒔慧"</f>
        <v>林蒔慧</v>
      </c>
      <c r="C430" s="3">
        <v>1</v>
      </c>
      <c r="D430" s="3"/>
      <c r="E430" s="3"/>
      <c r="F430" s="3"/>
      <c r="G430" s="3"/>
    </row>
    <row r="431" spans="1:7" hidden="1" x14ac:dyDescent="0.4">
      <c r="A431" s="3" t="str">
        <f t="shared" si="26"/>
        <v>斯語系</v>
      </c>
      <c r="B431" s="3" t="str">
        <f>"鄢定嘉"</f>
        <v>鄢定嘉</v>
      </c>
      <c r="C431" s="3">
        <v>2</v>
      </c>
      <c r="D431" s="3" t="s">
        <v>155</v>
      </c>
      <c r="E431" s="3"/>
      <c r="F431" s="3">
        <v>4</v>
      </c>
      <c r="G431" s="3" t="s">
        <v>127</v>
      </c>
    </row>
    <row r="432" spans="1:7" hidden="1" x14ac:dyDescent="0.4">
      <c r="A432" s="3" t="str">
        <f t="shared" ref="A432:A438" si="27">"日文系"</f>
        <v>日文系</v>
      </c>
      <c r="B432" s="3" t="str">
        <f>"葉秉杰"</f>
        <v>葉秉杰</v>
      </c>
      <c r="C432" s="3">
        <v>3</v>
      </c>
      <c r="D432" s="3" t="s">
        <v>158</v>
      </c>
      <c r="E432" s="3" t="s">
        <v>159</v>
      </c>
      <c r="F432" s="3">
        <v>4</v>
      </c>
      <c r="G432" s="3" t="s">
        <v>127</v>
      </c>
    </row>
    <row r="433" spans="1:7" hidden="1" x14ac:dyDescent="0.4">
      <c r="A433" s="3" t="str">
        <f t="shared" si="27"/>
        <v>日文系</v>
      </c>
      <c r="B433" s="3" t="str">
        <f>"鄭家瑜"</f>
        <v>鄭家瑜</v>
      </c>
      <c r="C433" s="3">
        <v>1</v>
      </c>
      <c r="D433" s="3"/>
      <c r="E433" s="3"/>
      <c r="F433" s="3"/>
      <c r="G433" s="3"/>
    </row>
    <row r="434" spans="1:7" hidden="1" x14ac:dyDescent="0.4">
      <c r="A434" s="3" t="str">
        <f t="shared" si="27"/>
        <v>日文系</v>
      </c>
      <c r="B434" s="3" t="str">
        <f>"山藤夏郎"</f>
        <v>山藤夏郎</v>
      </c>
      <c r="C434" s="3">
        <v>3</v>
      </c>
      <c r="D434" s="3" t="s">
        <v>156</v>
      </c>
      <c r="E434" s="3" t="s">
        <v>157</v>
      </c>
      <c r="F434" s="3">
        <v>4</v>
      </c>
      <c r="G434" s="3"/>
    </row>
    <row r="435" spans="1:7" hidden="1" x14ac:dyDescent="0.4">
      <c r="A435" s="3" t="str">
        <f t="shared" si="27"/>
        <v>日文系</v>
      </c>
      <c r="B435" s="3" t="str">
        <f>"喬曉筠"</f>
        <v>喬曉筠</v>
      </c>
      <c r="C435" s="3">
        <v>1</v>
      </c>
      <c r="D435" s="3"/>
      <c r="E435" s="3"/>
      <c r="F435" s="3"/>
      <c r="G435" s="3"/>
    </row>
    <row r="436" spans="1:7" hidden="1" x14ac:dyDescent="0.4">
      <c r="A436" s="3" t="str">
        <f t="shared" si="27"/>
        <v>日文系</v>
      </c>
      <c r="B436" s="3" t="str">
        <f>"金想容"</f>
        <v>金想容</v>
      </c>
      <c r="C436" s="3">
        <v>1</v>
      </c>
      <c r="D436" s="3"/>
      <c r="E436" s="3"/>
      <c r="F436" s="3"/>
      <c r="G436" s="3"/>
    </row>
    <row r="437" spans="1:7" hidden="1" x14ac:dyDescent="0.4">
      <c r="A437" s="3" t="str">
        <f t="shared" si="27"/>
        <v>日文系</v>
      </c>
      <c r="B437" s="3" t="str">
        <f>"高啓豪"</f>
        <v>高啓豪</v>
      </c>
      <c r="C437" s="3">
        <v>3</v>
      </c>
      <c r="D437" s="3" t="s">
        <v>160</v>
      </c>
      <c r="E437" s="3" t="s">
        <v>161</v>
      </c>
      <c r="F437" s="3">
        <v>4</v>
      </c>
      <c r="G437" s="3"/>
    </row>
    <row r="438" spans="1:7" hidden="1" x14ac:dyDescent="0.4">
      <c r="A438" s="3" t="str">
        <f t="shared" si="27"/>
        <v>日文系</v>
      </c>
      <c r="B438" s="3" t="str">
        <f>"王淑琴"</f>
        <v>王淑琴</v>
      </c>
      <c r="C438" s="3">
        <v>1</v>
      </c>
      <c r="D438" s="3"/>
      <c r="E438" s="3"/>
      <c r="F438" s="3"/>
      <c r="G438" s="3"/>
    </row>
    <row r="439" spans="1:7" hidden="1" x14ac:dyDescent="0.4">
      <c r="A439" s="3" t="str">
        <f>"韓文系"</f>
        <v>韓文系</v>
      </c>
      <c r="B439" s="3" t="str">
        <f>"朴炳善"</f>
        <v>朴炳善</v>
      </c>
      <c r="C439" s="3">
        <v>1</v>
      </c>
      <c r="D439" s="3"/>
      <c r="E439" s="3"/>
      <c r="F439" s="3"/>
      <c r="G439" s="3"/>
    </row>
    <row r="440" spans="1:7" hidden="1" x14ac:dyDescent="0.4">
      <c r="A440" s="3" t="str">
        <f>"韓文系"</f>
        <v>韓文系</v>
      </c>
      <c r="B440" s="3" t="str">
        <f>"陳慶智"</f>
        <v>陳慶智</v>
      </c>
      <c r="C440" s="3">
        <v>1</v>
      </c>
      <c r="D440" s="3"/>
      <c r="E440" s="3"/>
      <c r="F440" s="3"/>
      <c r="G440" s="3"/>
    </row>
    <row r="441" spans="1:7" hidden="1" x14ac:dyDescent="0.4">
      <c r="A441" s="3" t="str">
        <f>"韓文系"</f>
        <v>韓文系</v>
      </c>
      <c r="B441" s="3" t="str">
        <f>"林侑毅"</f>
        <v>林侑毅</v>
      </c>
      <c r="C441" s="3">
        <v>2</v>
      </c>
      <c r="D441" s="3" t="s">
        <v>164</v>
      </c>
      <c r="E441" s="3" t="s">
        <v>165</v>
      </c>
      <c r="F441" s="3">
        <v>4</v>
      </c>
      <c r="G441" s="3" t="s">
        <v>166</v>
      </c>
    </row>
    <row r="442" spans="1:7" hidden="1" x14ac:dyDescent="0.4">
      <c r="A442" s="3" t="str">
        <f>"韓文系"</f>
        <v>韓文系</v>
      </c>
      <c r="B442" s="3" t="str">
        <f>"郭秋雯"</f>
        <v>郭秋雯</v>
      </c>
      <c r="C442" s="3">
        <v>2</v>
      </c>
      <c r="D442" s="3" t="s">
        <v>162</v>
      </c>
      <c r="E442" s="3" t="s">
        <v>163</v>
      </c>
      <c r="F442" s="3">
        <v>4</v>
      </c>
      <c r="G442" s="3"/>
    </row>
    <row r="443" spans="1:7" hidden="1" x14ac:dyDescent="0.4">
      <c r="A443" s="3" t="str">
        <f>"韓文系"</f>
        <v>韓文系</v>
      </c>
      <c r="B443" s="3" t="str">
        <f>"陳冠超"</f>
        <v>陳冠超</v>
      </c>
      <c r="C443" s="3">
        <v>1</v>
      </c>
      <c r="D443" s="3"/>
      <c r="E443" s="3"/>
      <c r="F443" s="3"/>
      <c r="G443" s="3"/>
    </row>
    <row r="444" spans="1:7" hidden="1" x14ac:dyDescent="0.4">
      <c r="A444" s="3" t="str">
        <f>"土文系"</f>
        <v>土文系</v>
      </c>
      <c r="B444" s="3" t="str">
        <f>"熊道天"</f>
        <v>熊道天</v>
      </c>
      <c r="C444" s="3">
        <v>2</v>
      </c>
      <c r="D444" s="3" t="s">
        <v>167</v>
      </c>
      <c r="E444" s="3" t="s">
        <v>168</v>
      </c>
      <c r="F444" s="3">
        <v>4</v>
      </c>
      <c r="G444" s="3"/>
    </row>
    <row r="445" spans="1:7" hidden="1" x14ac:dyDescent="0.4">
      <c r="A445" s="3" t="str">
        <f>"土文系"</f>
        <v>土文系</v>
      </c>
      <c r="B445" s="3" t="str">
        <f>"李珮玲"</f>
        <v>李珮玲</v>
      </c>
      <c r="C445" s="3">
        <v>2</v>
      </c>
      <c r="D445" s="3" t="s">
        <v>169</v>
      </c>
      <c r="E445" s="3" t="s">
        <v>170</v>
      </c>
      <c r="F445" s="3">
        <v>4</v>
      </c>
      <c r="G445" s="3"/>
    </row>
    <row r="446" spans="1:7" hidden="1" x14ac:dyDescent="0.4">
      <c r="A446" s="3" t="str">
        <f>"土文系"</f>
        <v>土文系</v>
      </c>
      <c r="B446" s="3" t="str">
        <f>"吳世曼"</f>
        <v>吳世曼</v>
      </c>
      <c r="C446" s="3">
        <v>2</v>
      </c>
      <c r="D446" s="3" t="s">
        <v>175</v>
      </c>
      <c r="E446" s="3" t="s">
        <v>176</v>
      </c>
      <c r="F446" s="3">
        <v>4</v>
      </c>
      <c r="G446" s="3"/>
    </row>
    <row r="447" spans="1:7" hidden="1" x14ac:dyDescent="0.4">
      <c r="A447" s="3" t="str">
        <f>"土文系"</f>
        <v>土文系</v>
      </c>
      <c r="B447" s="3" t="str">
        <f>"徐漢陽"</f>
        <v>徐漢陽</v>
      </c>
      <c r="C447" s="3">
        <v>2</v>
      </c>
      <c r="D447" s="3" t="s">
        <v>171</v>
      </c>
      <c r="E447" s="3" t="s">
        <v>172</v>
      </c>
      <c r="F447" s="3">
        <v>4</v>
      </c>
      <c r="G447" s="3"/>
    </row>
    <row r="448" spans="1:7" hidden="1" x14ac:dyDescent="0.4">
      <c r="A448" s="3" t="str">
        <f>"土文系"</f>
        <v>土文系</v>
      </c>
      <c r="B448" s="3" t="str">
        <f>"曾蘭雅"</f>
        <v>曾蘭雅</v>
      </c>
      <c r="C448" s="3">
        <v>2</v>
      </c>
      <c r="D448" s="3" t="s">
        <v>173</v>
      </c>
      <c r="E448" s="3" t="s">
        <v>174</v>
      </c>
      <c r="F448" s="3">
        <v>4</v>
      </c>
      <c r="G448" s="3"/>
    </row>
    <row r="449" spans="1:7" hidden="1" x14ac:dyDescent="0.4">
      <c r="A449" s="3" t="str">
        <f t="shared" ref="A449:A457" si="28">"歐文學系"</f>
        <v>歐文學系</v>
      </c>
      <c r="B449" s="3" t="str">
        <f>"阮若缺"</f>
        <v>阮若缺</v>
      </c>
      <c r="C449" s="3">
        <v>2</v>
      </c>
      <c r="D449" s="3" t="s">
        <v>177</v>
      </c>
      <c r="E449" s="3" t="s">
        <v>178</v>
      </c>
      <c r="F449" s="3">
        <v>4</v>
      </c>
      <c r="G449" s="3" t="s">
        <v>127</v>
      </c>
    </row>
    <row r="450" spans="1:7" hidden="1" x14ac:dyDescent="0.4">
      <c r="A450" s="3" t="str">
        <f t="shared" si="28"/>
        <v>歐文學系</v>
      </c>
      <c r="B450" s="3" t="str">
        <f>"舒卡夏"</f>
        <v>舒卡夏</v>
      </c>
      <c r="C450" s="3">
        <v>2</v>
      </c>
      <c r="D450" s="3" t="s">
        <v>179</v>
      </c>
      <c r="E450" s="3" t="s">
        <v>180</v>
      </c>
      <c r="F450" s="3">
        <v>4</v>
      </c>
      <c r="G450" s="3" t="s">
        <v>127</v>
      </c>
    </row>
    <row r="451" spans="1:7" hidden="1" x14ac:dyDescent="0.4">
      <c r="A451" s="3" t="str">
        <f t="shared" si="28"/>
        <v>歐文學系</v>
      </c>
      <c r="B451" s="3" t="str">
        <f>"李允安"</f>
        <v>李允安</v>
      </c>
      <c r="C451" s="3">
        <v>2</v>
      </c>
      <c r="D451" s="3" t="s">
        <v>181</v>
      </c>
      <c r="E451" s="3" t="s">
        <v>182</v>
      </c>
      <c r="F451" s="3">
        <v>4</v>
      </c>
      <c r="G451" s="3" t="s">
        <v>127</v>
      </c>
    </row>
    <row r="452" spans="1:7" hidden="1" x14ac:dyDescent="0.4">
      <c r="A452" s="3" t="str">
        <f t="shared" si="28"/>
        <v>歐文學系</v>
      </c>
      <c r="B452" s="3" t="str">
        <f>"姚紹基"</f>
        <v>姚紹基</v>
      </c>
      <c r="C452" s="3">
        <v>2</v>
      </c>
      <c r="D452" s="3" t="s">
        <v>185</v>
      </c>
      <c r="E452" s="3" t="s">
        <v>186</v>
      </c>
      <c r="F452" s="3">
        <v>4</v>
      </c>
      <c r="G452" s="3" t="s">
        <v>127</v>
      </c>
    </row>
    <row r="453" spans="1:7" hidden="1" x14ac:dyDescent="0.4">
      <c r="A453" s="3" t="str">
        <f t="shared" si="28"/>
        <v>歐文學系</v>
      </c>
      <c r="B453" s="3" t="str">
        <f>"徐安妮"</f>
        <v>徐安妮</v>
      </c>
      <c r="C453" s="3">
        <v>2</v>
      </c>
      <c r="D453" s="3" t="s">
        <v>183</v>
      </c>
      <c r="E453" s="3" t="s">
        <v>184</v>
      </c>
      <c r="F453" s="3">
        <v>4</v>
      </c>
      <c r="G453" s="3" t="s">
        <v>127</v>
      </c>
    </row>
    <row r="454" spans="1:7" hidden="1" x14ac:dyDescent="0.4">
      <c r="A454" s="3" t="str">
        <f t="shared" si="28"/>
        <v>歐文學系</v>
      </c>
      <c r="B454" s="3" t="str">
        <f>"蔡莫妮"</f>
        <v>蔡莫妮</v>
      </c>
      <c r="C454" s="3">
        <v>2</v>
      </c>
      <c r="D454" s="3" t="s">
        <v>187</v>
      </c>
      <c r="E454" s="3" t="s">
        <v>188</v>
      </c>
      <c r="F454" s="3">
        <v>4</v>
      </c>
      <c r="G454" s="3" t="s">
        <v>127</v>
      </c>
    </row>
    <row r="455" spans="1:7" hidden="1" x14ac:dyDescent="0.4">
      <c r="A455" s="3" t="str">
        <f t="shared" si="28"/>
        <v>歐文學系</v>
      </c>
      <c r="B455" s="3" t="str">
        <f>"楊瓊瑩"</f>
        <v>楊瓊瑩</v>
      </c>
      <c r="C455" s="3">
        <v>2</v>
      </c>
      <c r="D455" s="3" t="s">
        <v>189</v>
      </c>
      <c r="E455" s="3" t="s">
        <v>190</v>
      </c>
      <c r="F455" s="3">
        <v>4</v>
      </c>
      <c r="G455" s="3" t="s">
        <v>127</v>
      </c>
    </row>
    <row r="456" spans="1:7" hidden="1" x14ac:dyDescent="0.4">
      <c r="A456" s="3" t="str">
        <f t="shared" si="28"/>
        <v>歐文學系</v>
      </c>
      <c r="B456" s="3" t="str">
        <f>"古孟玄"</f>
        <v>古孟玄</v>
      </c>
      <c r="C456" s="3">
        <v>2</v>
      </c>
      <c r="D456" s="3" t="s">
        <v>191</v>
      </c>
      <c r="E456" s="3" t="s">
        <v>192</v>
      </c>
      <c r="F456" s="3">
        <v>4</v>
      </c>
      <c r="G456" s="3" t="s">
        <v>127</v>
      </c>
    </row>
    <row r="457" spans="1:7" hidden="1" x14ac:dyDescent="0.4">
      <c r="A457" s="3" t="str">
        <f t="shared" si="28"/>
        <v>歐文學系</v>
      </c>
      <c r="B457" s="3" t="str">
        <f>"藍文君"</f>
        <v>藍文君</v>
      </c>
      <c r="C457" s="3">
        <v>2</v>
      </c>
      <c r="D457" s="3" t="s">
        <v>193</v>
      </c>
      <c r="E457" s="3" t="s">
        <v>194</v>
      </c>
      <c r="F457" s="3">
        <v>4</v>
      </c>
      <c r="G457" s="3" t="s">
        <v>127</v>
      </c>
    </row>
    <row r="458" spans="1:7" hidden="1" x14ac:dyDescent="0.4">
      <c r="A458" s="1" t="str">
        <f t="shared" ref="A458:A472" si="29">"東南亞學程"</f>
        <v>東南亞學程</v>
      </c>
      <c r="B458" s="1" t="str">
        <f>"黎氏仁"</f>
        <v>黎氏仁</v>
      </c>
    </row>
    <row r="459" spans="1:7" hidden="1" x14ac:dyDescent="0.4">
      <c r="A459" s="1" t="str">
        <f t="shared" si="29"/>
        <v>東南亞學程</v>
      </c>
      <c r="B459" s="1" t="str">
        <f>"潘氏清"</f>
        <v>潘氏清</v>
      </c>
    </row>
    <row r="460" spans="1:7" hidden="1" x14ac:dyDescent="0.4">
      <c r="A460" s="1" t="str">
        <f t="shared" si="29"/>
        <v>東南亞學程</v>
      </c>
      <c r="B460" s="1" t="str">
        <f>"吉詩葳"</f>
        <v>吉詩葳</v>
      </c>
    </row>
    <row r="461" spans="1:7" hidden="1" x14ac:dyDescent="0.4">
      <c r="A461" s="1" t="str">
        <f t="shared" si="29"/>
        <v>東南亞學程</v>
      </c>
      <c r="B461" s="1" t="str">
        <f>"樊夏"</f>
        <v>樊夏</v>
      </c>
    </row>
    <row r="462" spans="1:7" hidden="1" x14ac:dyDescent="0.4">
      <c r="A462" s="1" t="str">
        <f t="shared" si="29"/>
        <v>東南亞學程</v>
      </c>
      <c r="B462" s="1" t="str">
        <f>"李開發"</f>
        <v>李開發</v>
      </c>
    </row>
    <row r="463" spans="1:7" hidden="1" x14ac:dyDescent="0.4">
      <c r="A463" s="1" t="str">
        <f t="shared" si="29"/>
        <v>東南亞學程</v>
      </c>
      <c r="B463" s="1" t="str">
        <f>"劉心華"</f>
        <v>劉心華</v>
      </c>
    </row>
    <row r="464" spans="1:7" hidden="1" x14ac:dyDescent="0.4">
      <c r="A464" s="1" t="str">
        <f t="shared" si="29"/>
        <v>東南亞學程</v>
      </c>
      <c r="B464" s="1" t="str">
        <f>"吳佳靜"</f>
        <v>吳佳靜</v>
      </c>
    </row>
    <row r="465" spans="1:7" hidden="1" x14ac:dyDescent="0.4">
      <c r="A465" s="1" t="str">
        <f t="shared" si="29"/>
        <v>東南亞學程</v>
      </c>
      <c r="B465" s="1" t="str">
        <f>"張珮琪"</f>
        <v>張珮琪</v>
      </c>
    </row>
    <row r="466" spans="1:7" hidden="1" x14ac:dyDescent="0.4">
      <c r="A466" s="1" t="str">
        <f t="shared" si="29"/>
        <v>東南亞學程</v>
      </c>
      <c r="B466" s="1" t="str">
        <f>"林蒔慧"</f>
        <v>林蒔慧</v>
      </c>
    </row>
    <row r="467" spans="1:7" hidden="1" x14ac:dyDescent="0.4">
      <c r="A467" s="1" t="str">
        <f t="shared" si="29"/>
        <v>東南亞學程</v>
      </c>
      <c r="B467" s="1" t="str">
        <f>"江慧婉"</f>
        <v>江慧婉</v>
      </c>
    </row>
    <row r="468" spans="1:7" hidden="1" x14ac:dyDescent="0.4">
      <c r="A468" s="1" t="str">
        <f t="shared" si="29"/>
        <v>東南亞學程</v>
      </c>
      <c r="B468" s="1" t="str">
        <f>"阮若缺"</f>
        <v>阮若缺</v>
      </c>
    </row>
    <row r="469" spans="1:7" hidden="1" x14ac:dyDescent="0.4">
      <c r="A469" s="1" t="str">
        <f t="shared" si="29"/>
        <v>東南亞學程</v>
      </c>
      <c r="B469" s="1" t="str">
        <f>"楊瓊瑩"</f>
        <v>楊瓊瑩</v>
      </c>
    </row>
    <row r="470" spans="1:7" hidden="1" x14ac:dyDescent="0.4">
      <c r="A470" s="1" t="str">
        <f t="shared" si="29"/>
        <v>東南亞學程</v>
      </c>
      <c r="B470" s="1" t="str">
        <f>"姚紹基"</f>
        <v>姚紹基</v>
      </c>
    </row>
    <row r="471" spans="1:7" hidden="1" x14ac:dyDescent="0.4">
      <c r="A471" s="1" t="str">
        <f t="shared" si="29"/>
        <v>東南亞學程</v>
      </c>
      <c r="B471" s="1" t="str">
        <f>"徐安妮"</f>
        <v>徐安妮</v>
      </c>
    </row>
    <row r="472" spans="1:7" hidden="1" x14ac:dyDescent="0.4">
      <c r="A472" s="1" t="str">
        <f t="shared" si="29"/>
        <v>東南亞學程</v>
      </c>
      <c r="B472" s="1" t="str">
        <f>"鮑琪芸"</f>
        <v>鮑琪芸</v>
      </c>
    </row>
    <row r="473" spans="1:7" hidden="1" x14ac:dyDescent="0.4">
      <c r="A473" s="3" t="str">
        <f>"語言所"</f>
        <v>語言所</v>
      </c>
      <c r="B473" s="3" t="str">
        <f>"戴智偉"</f>
        <v>戴智偉</v>
      </c>
      <c r="C473" s="3">
        <v>2</v>
      </c>
      <c r="D473" s="3" t="s">
        <v>195</v>
      </c>
      <c r="E473" s="3" t="s">
        <v>226</v>
      </c>
      <c r="F473" s="3">
        <v>4</v>
      </c>
      <c r="G473" s="3"/>
    </row>
    <row r="474" spans="1:7" hidden="1" x14ac:dyDescent="0.4">
      <c r="A474" s="3" t="str">
        <f>"語言所"</f>
        <v>語言所</v>
      </c>
      <c r="B474" s="3" t="str">
        <f>"蕭宇超"</f>
        <v>蕭宇超</v>
      </c>
      <c r="C474" s="3">
        <v>1</v>
      </c>
      <c r="D474" s="3"/>
      <c r="E474" s="3"/>
      <c r="F474" s="3"/>
      <c r="G474" s="3"/>
    </row>
    <row r="475" spans="1:7" hidden="1" x14ac:dyDescent="0.4">
      <c r="A475" s="3" t="str">
        <f>"語言所"</f>
        <v>語言所</v>
      </c>
      <c r="B475" s="3" t="str">
        <f>"黃瓊之"</f>
        <v>黃瓊之</v>
      </c>
      <c r="C475" s="3">
        <v>1</v>
      </c>
      <c r="D475" s="3"/>
      <c r="E475" s="3"/>
      <c r="F475" s="3"/>
      <c r="G475" s="3"/>
    </row>
    <row r="476" spans="1:7" hidden="1" x14ac:dyDescent="0.4">
      <c r="A476" s="1" t="str">
        <f t="shared" ref="A476:A482" si="30">"中東中亞學程"</f>
        <v>中東中亞學程</v>
      </c>
      <c r="B476" s="1" t="str">
        <f>"曾蘭雅"</f>
        <v>曾蘭雅</v>
      </c>
    </row>
    <row r="477" spans="1:7" hidden="1" x14ac:dyDescent="0.4">
      <c r="A477" s="1" t="str">
        <f t="shared" si="30"/>
        <v>中東中亞學程</v>
      </c>
      <c r="B477" s="1" t="str">
        <f>"盧業中"</f>
        <v>盧業中</v>
      </c>
    </row>
    <row r="478" spans="1:7" hidden="1" x14ac:dyDescent="0.4">
      <c r="A478" s="1" t="str">
        <f t="shared" si="30"/>
        <v>中東中亞學程</v>
      </c>
      <c r="B478" s="1" t="str">
        <f>"張文揚"</f>
        <v>張文揚</v>
      </c>
    </row>
    <row r="479" spans="1:7" hidden="1" x14ac:dyDescent="0.4">
      <c r="A479" s="1" t="str">
        <f t="shared" si="30"/>
        <v>中東中亞學程</v>
      </c>
      <c r="B479" s="1" t="str">
        <f>"連弘宜"</f>
        <v>連弘宜</v>
      </c>
    </row>
    <row r="480" spans="1:7" hidden="1" x14ac:dyDescent="0.4">
      <c r="A480" s="1" t="str">
        <f t="shared" si="30"/>
        <v>中東中亞學程</v>
      </c>
      <c r="B480" s="1" t="str">
        <f>"薛健吾"</f>
        <v>薛健吾</v>
      </c>
    </row>
    <row r="481" spans="1:2" hidden="1" x14ac:dyDescent="0.4">
      <c r="A481" s="1" t="str">
        <f t="shared" si="30"/>
        <v>中東中亞學程</v>
      </c>
      <c r="B481" s="1" t="str">
        <f>"蘇怡文"</f>
        <v>蘇怡文</v>
      </c>
    </row>
    <row r="482" spans="1:2" hidden="1" x14ac:dyDescent="0.4">
      <c r="A482" s="1" t="str">
        <f t="shared" si="30"/>
        <v>中東中亞學程</v>
      </c>
      <c r="B482" s="1" t="str">
        <f>"叢培臻"</f>
        <v>叢培臻</v>
      </c>
    </row>
    <row r="483" spans="1:2" hidden="1" x14ac:dyDescent="0.4">
      <c r="A483" s="1" t="str">
        <f>"法學院"</f>
        <v>法學院</v>
      </c>
      <c r="B483" s="1" t="str">
        <f>"許政賢"</f>
        <v>許政賢</v>
      </c>
    </row>
    <row r="484" spans="1:2" hidden="1" x14ac:dyDescent="0.4">
      <c r="A484" s="1" t="str">
        <f t="shared" ref="A484:A520" si="31">"法律系"</f>
        <v>法律系</v>
      </c>
      <c r="B484" s="1" t="str">
        <f>"王文杰"</f>
        <v>王文杰</v>
      </c>
    </row>
    <row r="485" spans="1:2" hidden="1" x14ac:dyDescent="0.4">
      <c r="A485" s="1" t="str">
        <f t="shared" si="31"/>
        <v>法律系</v>
      </c>
      <c r="B485" s="1" t="str">
        <f>"林佳和"</f>
        <v>林佳和</v>
      </c>
    </row>
    <row r="486" spans="1:2" hidden="1" x14ac:dyDescent="0.4">
      <c r="A486" s="1" t="str">
        <f t="shared" si="31"/>
        <v>法律系</v>
      </c>
      <c r="B486" s="1" t="str">
        <f>"許耀明"</f>
        <v>許耀明</v>
      </c>
    </row>
    <row r="487" spans="1:2" hidden="1" x14ac:dyDescent="0.4">
      <c r="A487" s="1" t="str">
        <f t="shared" si="31"/>
        <v>法律系</v>
      </c>
      <c r="B487" s="1" t="str">
        <f>"陳靜慧"</f>
        <v>陳靜慧</v>
      </c>
    </row>
    <row r="488" spans="1:2" hidden="1" x14ac:dyDescent="0.4">
      <c r="A488" s="1" t="str">
        <f t="shared" si="31"/>
        <v>法律系</v>
      </c>
      <c r="B488" s="1" t="str">
        <f>"黃士軒"</f>
        <v>黃士軒</v>
      </c>
    </row>
    <row r="489" spans="1:2" hidden="1" x14ac:dyDescent="0.4">
      <c r="A489" s="1" t="str">
        <f t="shared" si="31"/>
        <v>法律系</v>
      </c>
      <c r="B489" s="1" t="str">
        <f>"顏玉明"</f>
        <v>顏玉明</v>
      </c>
    </row>
    <row r="490" spans="1:2" hidden="1" x14ac:dyDescent="0.4">
      <c r="A490" s="1" t="str">
        <f t="shared" si="31"/>
        <v>法律系</v>
      </c>
      <c r="B490" s="1" t="str">
        <f>"王立達"</f>
        <v>王立達</v>
      </c>
    </row>
    <row r="491" spans="1:2" hidden="1" x14ac:dyDescent="0.4">
      <c r="A491" s="1" t="str">
        <f t="shared" si="31"/>
        <v>法律系</v>
      </c>
      <c r="B491" s="1" t="str">
        <f>"劉定基"</f>
        <v>劉定基</v>
      </c>
    </row>
    <row r="492" spans="1:2" hidden="1" x14ac:dyDescent="0.4">
      <c r="A492" s="1" t="str">
        <f t="shared" si="31"/>
        <v>法律系</v>
      </c>
      <c r="B492" s="1" t="str">
        <f>"劉明生"</f>
        <v>劉明生</v>
      </c>
    </row>
    <row r="493" spans="1:2" hidden="1" x14ac:dyDescent="0.4">
      <c r="A493" s="1" t="str">
        <f t="shared" si="31"/>
        <v>法律系</v>
      </c>
      <c r="B493" s="1" t="str">
        <f>"廖元豪"</f>
        <v>廖元豪</v>
      </c>
    </row>
    <row r="494" spans="1:2" hidden="1" x14ac:dyDescent="0.4">
      <c r="A494" s="1" t="str">
        <f t="shared" si="31"/>
        <v>法律系</v>
      </c>
      <c r="B494" s="1" t="str">
        <f>"陳志輝"</f>
        <v>陳志輝</v>
      </c>
    </row>
    <row r="495" spans="1:2" hidden="1" x14ac:dyDescent="0.4">
      <c r="A495" s="1" t="str">
        <f t="shared" si="31"/>
        <v>法律系</v>
      </c>
      <c r="B495" s="1" t="str">
        <f>"王千維"</f>
        <v>王千維</v>
      </c>
    </row>
    <row r="496" spans="1:2" hidden="1" x14ac:dyDescent="0.4">
      <c r="A496" s="1" t="str">
        <f t="shared" si="31"/>
        <v>法律系</v>
      </c>
      <c r="B496" s="1" t="str">
        <f>"李聖傑"</f>
        <v>李聖傑</v>
      </c>
    </row>
    <row r="497" spans="1:2" hidden="1" x14ac:dyDescent="0.4">
      <c r="A497" s="1" t="str">
        <f t="shared" si="31"/>
        <v>法律系</v>
      </c>
      <c r="B497" s="1" t="str">
        <f>"戴瑀如"</f>
        <v>戴瑀如</v>
      </c>
    </row>
    <row r="498" spans="1:2" hidden="1" x14ac:dyDescent="0.4">
      <c r="A498" s="1" t="str">
        <f t="shared" si="31"/>
        <v>法律系</v>
      </c>
      <c r="B498" s="1" t="str">
        <f>"吳瑾瑜"</f>
        <v>吳瑾瑜</v>
      </c>
    </row>
    <row r="499" spans="1:2" hidden="1" x14ac:dyDescent="0.4">
      <c r="A499" s="1" t="str">
        <f t="shared" si="31"/>
        <v>法律系</v>
      </c>
      <c r="B499" s="1" t="str">
        <f>"呂彥彬"</f>
        <v>呂彥彬</v>
      </c>
    </row>
    <row r="500" spans="1:2" hidden="1" x14ac:dyDescent="0.4">
      <c r="A500" s="1" t="str">
        <f t="shared" si="31"/>
        <v>法律系</v>
      </c>
      <c r="B500" s="1" t="str">
        <f>"葉啓洲"</f>
        <v>葉啓洲</v>
      </c>
    </row>
    <row r="501" spans="1:2" hidden="1" x14ac:dyDescent="0.4">
      <c r="A501" s="1" t="str">
        <f t="shared" si="31"/>
        <v>法律系</v>
      </c>
      <c r="B501" s="1" t="str">
        <f>"謝如媛"</f>
        <v>謝如媛</v>
      </c>
    </row>
    <row r="502" spans="1:2" hidden="1" x14ac:dyDescent="0.4">
      <c r="A502" s="1" t="str">
        <f t="shared" si="31"/>
        <v>法律系</v>
      </c>
      <c r="B502" s="1" t="str">
        <f>"周伯峰"</f>
        <v>周伯峰</v>
      </c>
    </row>
    <row r="503" spans="1:2" hidden="1" x14ac:dyDescent="0.4">
      <c r="A503" s="1" t="str">
        <f t="shared" si="31"/>
        <v>法律系</v>
      </c>
      <c r="B503" s="1" t="str">
        <f>"張桐銳"</f>
        <v>張桐銳</v>
      </c>
    </row>
    <row r="504" spans="1:2" hidden="1" x14ac:dyDescent="0.4">
      <c r="A504" s="1" t="str">
        <f t="shared" si="31"/>
        <v>法律系</v>
      </c>
      <c r="B504" s="1" t="str">
        <f>"傅玲靜"</f>
        <v>傅玲靜</v>
      </c>
    </row>
    <row r="505" spans="1:2" hidden="1" x14ac:dyDescent="0.4">
      <c r="A505" s="1" t="str">
        <f t="shared" si="31"/>
        <v>法律系</v>
      </c>
      <c r="B505" s="1" t="str">
        <f>"周振鋒"</f>
        <v>周振鋒</v>
      </c>
    </row>
    <row r="506" spans="1:2" hidden="1" x14ac:dyDescent="0.4">
      <c r="A506" s="1" t="str">
        <f t="shared" si="31"/>
        <v>法律系</v>
      </c>
      <c r="B506" s="1" t="str">
        <f>"陳貞如"</f>
        <v>陳貞如</v>
      </c>
    </row>
    <row r="507" spans="1:2" hidden="1" x14ac:dyDescent="0.4">
      <c r="A507" s="1" t="str">
        <f t="shared" si="31"/>
        <v>法律系</v>
      </c>
      <c r="B507" s="1" t="str">
        <f>"黃琴唐"</f>
        <v>黃琴唐</v>
      </c>
    </row>
    <row r="508" spans="1:2" hidden="1" x14ac:dyDescent="0.4">
      <c r="A508" s="1" t="str">
        <f t="shared" si="31"/>
        <v>法律系</v>
      </c>
      <c r="B508" s="1" t="str">
        <f>"王曉丹"</f>
        <v>王曉丹</v>
      </c>
    </row>
    <row r="509" spans="1:2" hidden="1" x14ac:dyDescent="0.4">
      <c r="A509" s="1" t="str">
        <f t="shared" si="31"/>
        <v>法律系</v>
      </c>
      <c r="B509" s="1" t="str">
        <f>"江玉林"</f>
        <v>江玉林</v>
      </c>
    </row>
    <row r="510" spans="1:2" hidden="1" x14ac:dyDescent="0.4">
      <c r="A510" s="1" t="str">
        <f t="shared" si="31"/>
        <v>法律系</v>
      </c>
      <c r="B510" s="1" t="str">
        <f>"吳秦雯"</f>
        <v>吳秦雯</v>
      </c>
    </row>
    <row r="511" spans="1:2" hidden="1" x14ac:dyDescent="0.4">
      <c r="A511" s="1" t="str">
        <f t="shared" si="31"/>
        <v>法律系</v>
      </c>
      <c r="B511" s="1" t="str">
        <f>"楊雲驊"</f>
        <v>楊雲驊</v>
      </c>
    </row>
    <row r="512" spans="1:2" hidden="1" x14ac:dyDescent="0.4">
      <c r="A512" s="1" t="str">
        <f t="shared" si="31"/>
        <v>法律系</v>
      </c>
      <c r="B512" s="1" t="str">
        <f>"沈宗倫"</f>
        <v>沈宗倫</v>
      </c>
    </row>
    <row r="513" spans="1:2" hidden="1" x14ac:dyDescent="0.4">
      <c r="A513" s="1" t="str">
        <f t="shared" si="31"/>
        <v>法律系</v>
      </c>
      <c r="B513" s="1" t="str">
        <f>"何賴傑"</f>
        <v>何賴傑</v>
      </c>
    </row>
    <row r="514" spans="1:2" hidden="1" x14ac:dyDescent="0.4">
      <c r="A514" s="1" t="str">
        <f t="shared" si="31"/>
        <v>法律系</v>
      </c>
      <c r="B514" s="1" t="str">
        <f>"劉宏恩"</f>
        <v>劉宏恩</v>
      </c>
    </row>
    <row r="515" spans="1:2" hidden="1" x14ac:dyDescent="0.4">
      <c r="A515" s="1" t="str">
        <f t="shared" si="31"/>
        <v>法律系</v>
      </c>
      <c r="B515" s="1" t="str">
        <f>"姜世明"</f>
        <v>姜世明</v>
      </c>
    </row>
    <row r="516" spans="1:2" hidden="1" x14ac:dyDescent="0.4">
      <c r="A516" s="1" t="str">
        <f t="shared" si="31"/>
        <v>法律系</v>
      </c>
      <c r="B516" s="1" t="str">
        <f>"臧正運"</f>
        <v>臧正運</v>
      </c>
    </row>
    <row r="517" spans="1:2" hidden="1" x14ac:dyDescent="0.4">
      <c r="A517" s="1" t="str">
        <f t="shared" si="31"/>
        <v>法律系</v>
      </c>
      <c r="B517" s="1" t="str">
        <f>"林良榮"</f>
        <v>林良榮</v>
      </c>
    </row>
    <row r="518" spans="1:2" hidden="1" x14ac:dyDescent="0.4">
      <c r="A518" s="1" t="str">
        <f t="shared" si="31"/>
        <v>法律系</v>
      </c>
      <c r="B518" s="1" t="str">
        <f>"許政賢"</f>
        <v>許政賢</v>
      </c>
    </row>
    <row r="519" spans="1:2" hidden="1" x14ac:dyDescent="0.4">
      <c r="A519" s="1" t="str">
        <f t="shared" si="31"/>
        <v>法律系</v>
      </c>
      <c r="B519" s="1" t="str">
        <f>"朱德芳"</f>
        <v>朱德芳</v>
      </c>
    </row>
    <row r="520" spans="1:2" hidden="1" x14ac:dyDescent="0.4">
      <c r="A520" s="1" t="str">
        <f t="shared" si="31"/>
        <v>法律系</v>
      </c>
      <c r="B520" s="1" t="str">
        <f>"方嘉麟"</f>
        <v>方嘉麟</v>
      </c>
    </row>
    <row r="521" spans="1:2" hidden="1" x14ac:dyDescent="0.4">
      <c r="A521" s="1" t="str">
        <f t="shared" ref="A521:A535" si="32">"法科所"</f>
        <v>法科所</v>
      </c>
      <c r="B521" s="1" t="str">
        <f>"王曉丹"</f>
        <v>王曉丹</v>
      </c>
    </row>
    <row r="522" spans="1:2" hidden="1" x14ac:dyDescent="0.4">
      <c r="A522" s="1" t="str">
        <f t="shared" si="32"/>
        <v>法科所</v>
      </c>
      <c r="B522" s="1" t="str">
        <f>"王立達"</f>
        <v>王立達</v>
      </c>
    </row>
    <row r="523" spans="1:2" hidden="1" x14ac:dyDescent="0.4">
      <c r="A523" s="1" t="str">
        <f t="shared" si="32"/>
        <v>法科所</v>
      </c>
      <c r="B523" s="1" t="str">
        <f>"劉宏恩"</f>
        <v>劉宏恩</v>
      </c>
    </row>
    <row r="524" spans="1:2" hidden="1" x14ac:dyDescent="0.4">
      <c r="A524" s="1" t="str">
        <f t="shared" si="32"/>
        <v>法科所</v>
      </c>
      <c r="B524" s="1" t="str">
        <f>"顏玉明"</f>
        <v>顏玉明</v>
      </c>
    </row>
    <row r="525" spans="1:2" hidden="1" x14ac:dyDescent="0.4">
      <c r="A525" s="1" t="str">
        <f t="shared" si="32"/>
        <v>法科所</v>
      </c>
      <c r="B525" s="1" t="str">
        <f>"李聖傑"</f>
        <v>李聖傑</v>
      </c>
    </row>
    <row r="526" spans="1:2" hidden="1" x14ac:dyDescent="0.4">
      <c r="A526" s="1" t="str">
        <f t="shared" si="32"/>
        <v>法科所</v>
      </c>
      <c r="B526" s="1" t="str">
        <f>"吳秦雯"</f>
        <v>吳秦雯</v>
      </c>
    </row>
    <row r="527" spans="1:2" hidden="1" x14ac:dyDescent="0.4">
      <c r="A527" s="1" t="str">
        <f t="shared" si="32"/>
        <v>法科所</v>
      </c>
      <c r="B527" s="1" t="str">
        <f>"何賴傑"</f>
        <v>何賴傑</v>
      </c>
    </row>
    <row r="528" spans="1:2" hidden="1" x14ac:dyDescent="0.4">
      <c r="A528" s="1" t="str">
        <f t="shared" si="32"/>
        <v>法科所</v>
      </c>
      <c r="B528" s="1" t="str">
        <f>"江玉林"</f>
        <v>江玉林</v>
      </c>
    </row>
    <row r="529" spans="1:7" hidden="1" x14ac:dyDescent="0.4">
      <c r="A529" s="1" t="str">
        <f t="shared" si="32"/>
        <v>法科所</v>
      </c>
      <c r="B529" s="1" t="str">
        <f>"劉明生"</f>
        <v>劉明生</v>
      </c>
    </row>
    <row r="530" spans="1:7" hidden="1" x14ac:dyDescent="0.4">
      <c r="A530" s="1" t="str">
        <f t="shared" si="32"/>
        <v>法科所</v>
      </c>
      <c r="B530" s="1" t="str">
        <f>"林佳和"</f>
        <v>林佳和</v>
      </c>
    </row>
    <row r="531" spans="1:7" hidden="1" x14ac:dyDescent="0.4">
      <c r="A531" s="1" t="str">
        <f t="shared" si="32"/>
        <v>法科所</v>
      </c>
      <c r="B531" s="1" t="str">
        <f>"馮震宇"</f>
        <v>馮震宇</v>
      </c>
    </row>
    <row r="532" spans="1:7" hidden="1" x14ac:dyDescent="0.4">
      <c r="A532" s="1" t="str">
        <f t="shared" si="32"/>
        <v>法科所</v>
      </c>
      <c r="B532" s="1" t="str">
        <f>"葉啓洲"</f>
        <v>葉啓洲</v>
      </c>
    </row>
    <row r="533" spans="1:7" hidden="1" x14ac:dyDescent="0.4">
      <c r="A533" s="1" t="str">
        <f t="shared" si="32"/>
        <v>法科所</v>
      </c>
      <c r="B533" s="1" t="str">
        <f>"楊雲驊"</f>
        <v>楊雲驊</v>
      </c>
    </row>
    <row r="534" spans="1:7" hidden="1" x14ac:dyDescent="0.4">
      <c r="A534" s="1" t="str">
        <f t="shared" si="32"/>
        <v>法科所</v>
      </c>
      <c r="B534" s="1" t="str">
        <f>"張桐銳"</f>
        <v>張桐銳</v>
      </c>
    </row>
    <row r="535" spans="1:7" hidden="1" x14ac:dyDescent="0.4">
      <c r="A535" s="1" t="str">
        <f t="shared" si="32"/>
        <v>法科所</v>
      </c>
      <c r="B535" s="1" t="str">
        <f>"戴瑀如"</f>
        <v>戴瑀如</v>
      </c>
    </row>
    <row r="536" spans="1:7" hidden="1" x14ac:dyDescent="0.4">
      <c r="A536" s="1" t="str">
        <f>"理學院"</f>
        <v>理學院</v>
      </c>
      <c r="B536" s="1" t="str">
        <f>"陸行"</f>
        <v>陸行</v>
      </c>
    </row>
    <row r="537" spans="1:7" hidden="1" x14ac:dyDescent="0.4">
      <c r="A537" s="3" t="str">
        <f t="shared" ref="A537:A545" si="33">"應數系"</f>
        <v>應數系</v>
      </c>
      <c r="B537" s="3" t="str">
        <f>"班榮超"</f>
        <v>班榮超</v>
      </c>
      <c r="C537" s="3">
        <v>1</v>
      </c>
      <c r="D537" s="3"/>
      <c r="E537" s="3"/>
      <c r="F537" s="3"/>
      <c r="G537" s="3"/>
    </row>
    <row r="538" spans="1:7" hidden="1" x14ac:dyDescent="0.4">
      <c r="A538" s="3" t="str">
        <f t="shared" si="33"/>
        <v>應數系</v>
      </c>
      <c r="B538" s="3" t="str">
        <f>"曾睿彬"</f>
        <v>曾睿彬</v>
      </c>
      <c r="C538" s="3">
        <v>3</v>
      </c>
      <c r="D538" s="3" t="s">
        <v>196</v>
      </c>
      <c r="E538" s="3"/>
      <c r="F538" s="3">
        <v>1</v>
      </c>
      <c r="G538" s="3"/>
    </row>
    <row r="539" spans="1:7" hidden="1" x14ac:dyDescent="0.4">
      <c r="A539" s="3" t="str">
        <f t="shared" si="33"/>
        <v>應數系</v>
      </c>
      <c r="B539" s="3" t="str">
        <f>"符聖珍"</f>
        <v>符聖珍</v>
      </c>
      <c r="C539" s="3">
        <v>1</v>
      </c>
      <c r="D539" s="3"/>
      <c r="E539" s="3"/>
      <c r="F539" s="3"/>
      <c r="G539" s="3"/>
    </row>
    <row r="540" spans="1:7" hidden="1" x14ac:dyDescent="0.4">
      <c r="A540" s="3" t="str">
        <f t="shared" si="33"/>
        <v>應數系</v>
      </c>
      <c r="B540" s="3" t="str">
        <f>"陳政輝"</f>
        <v>陳政輝</v>
      </c>
      <c r="C540" s="3">
        <v>1</v>
      </c>
      <c r="D540" s="3"/>
      <c r="E540" s="3"/>
      <c r="F540" s="3"/>
      <c r="G540" s="3"/>
    </row>
    <row r="541" spans="1:7" hidden="1" x14ac:dyDescent="0.4">
      <c r="A541" s="3" t="str">
        <f t="shared" si="33"/>
        <v>應數系</v>
      </c>
      <c r="B541" s="3" t="str">
        <f>"曾正男"</f>
        <v>曾正男</v>
      </c>
      <c r="C541" s="3">
        <v>2</v>
      </c>
      <c r="D541" s="3" t="s">
        <v>199</v>
      </c>
      <c r="E541" s="3" t="s">
        <v>200</v>
      </c>
      <c r="F541" s="3">
        <v>1</v>
      </c>
      <c r="G541" s="3" t="s">
        <v>201</v>
      </c>
    </row>
    <row r="542" spans="1:7" hidden="1" x14ac:dyDescent="0.4">
      <c r="A542" s="3" t="str">
        <f t="shared" si="33"/>
        <v>應數系</v>
      </c>
      <c r="B542" s="3" t="str">
        <f>"陳隆奇"</f>
        <v>陳隆奇</v>
      </c>
      <c r="C542" s="3">
        <v>2</v>
      </c>
      <c r="D542" s="3" t="s">
        <v>202</v>
      </c>
      <c r="E542" s="3" t="s">
        <v>203</v>
      </c>
      <c r="F542" s="3">
        <v>1</v>
      </c>
      <c r="G542" s="3" t="s">
        <v>204</v>
      </c>
    </row>
    <row r="543" spans="1:7" hidden="1" x14ac:dyDescent="0.4">
      <c r="A543" s="3" t="str">
        <f t="shared" si="33"/>
        <v>應數系</v>
      </c>
      <c r="B543" s="3" t="str">
        <f>"張宜武"</f>
        <v>張宜武</v>
      </c>
      <c r="C543" s="3">
        <v>3</v>
      </c>
      <c r="D543" s="3"/>
      <c r="E543" s="3" t="s">
        <v>198</v>
      </c>
      <c r="F543" s="3">
        <v>4</v>
      </c>
      <c r="G543" s="3" t="s">
        <v>127</v>
      </c>
    </row>
    <row r="544" spans="1:7" hidden="1" x14ac:dyDescent="0.4">
      <c r="A544" s="3" t="str">
        <f t="shared" si="33"/>
        <v>應數系</v>
      </c>
      <c r="B544" s="3" t="str">
        <f>"洪芷漪"</f>
        <v>洪芷漪</v>
      </c>
      <c r="C544" s="3">
        <v>3</v>
      </c>
      <c r="D544" s="3" t="s">
        <v>205</v>
      </c>
      <c r="E544" s="3" t="s">
        <v>200</v>
      </c>
      <c r="F544" s="3">
        <v>4</v>
      </c>
      <c r="G544" s="3"/>
    </row>
    <row r="545" spans="1:7" hidden="1" x14ac:dyDescent="0.4">
      <c r="A545" s="3" t="str">
        <f t="shared" si="33"/>
        <v>應數系</v>
      </c>
      <c r="B545" s="3" t="str">
        <f>"符麥克"</f>
        <v>符麥克</v>
      </c>
      <c r="C545" s="3">
        <v>3</v>
      </c>
      <c r="D545" s="3" t="s">
        <v>197</v>
      </c>
      <c r="E545" s="3" t="s">
        <v>198</v>
      </c>
      <c r="F545" s="3">
        <v>4</v>
      </c>
      <c r="G545" s="3"/>
    </row>
    <row r="546" spans="1:7" hidden="1" x14ac:dyDescent="0.4">
      <c r="A546" s="1" t="str">
        <f t="shared" ref="A546:A557" si="34">"心理系"</f>
        <v>心理系</v>
      </c>
      <c r="B546" s="1" t="str">
        <f>"林姿葶"</f>
        <v>林姿葶</v>
      </c>
    </row>
    <row r="547" spans="1:7" hidden="1" x14ac:dyDescent="0.4">
      <c r="A547" s="3" t="str">
        <f t="shared" si="34"/>
        <v>心理系</v>
      </c>
      <c r="B547" s="3" t="str">
        <f>"吳治勳"</f>
        <v>吳治勳</v>
      </c>
      <c r="C547" s="3">
        <v>1</v>
      </c>
      <c r="D547" s="3"/>
      <c r="E547" s="3"/>
      <c r="F547" s="3"/>
      <c r="G547" s="3"/>
    </row>
    <row r="548" spans="1:7" hidden="1" x14ac:dyDescent="0.4">
      <c r="A548" s="1" t="str">
        <f t="shared" si="34"/>
        <v>心理系</v>
      </c>
      <c r="B548" s="1" t="str">
        <f>"楊建銘"</f>
        <v>楊建銘</v>
      </c>
    </row>
    <row r="549" spans="1:7" hidden="1" x14ac:dyDescent="0.4">
      <c r="A549" s="1" t="str">
        <f t="shared" si="34"/>
        <v>心理系</v>
      </c>
      <c r="B549" s="1" t="str">
        <f>"張葶葶"</f>
        <v>張葶葶</v>
      </c>
    </row>
    <row r="550" spans="1:7" hidden="1" x14ac:dyDescent="0.4">
      <c r="A550" s="3" t="str">
        <f t="shared" si="34"/>
        <v>心理系</v>
      </c>
      <c r="B550" s="3" t="str">
        <f>"姜忠信"</f>
        <v>姜忠信</v>
      </c>
      <c r="C550" s="3">
        <v>2</v>
      </c>
      <c r="D550" s="3" t="s">
        <v>206</v>
      </c>
      <c r="E550" s="3"/>
      <c r="F550" s="3">
        <v>4</v>
      </c>
      <c r="G550" s="3"/>
    </row>
    <row r="551" spans="1:7" hidden="1" x14ac:dyDescent="0.4">
      <c r="A551" s="3" t="str">
        <f t="shared" si="34"/>
        <v>心理系</v>
      </c>
      <c r="B551" s="3" t="str">
        <f>"楊立行"</f>
        <v>楊立行</v>
      </c>
      <c r="C551" s="3">
        <v>1</v>
      </c>
      <c r="D551" s="3"/>
      <c r="E551" s="3"/>
      <c r="F551" s="3"/>
      <c r="G551" s="3"/>
    </row>
    <row r="552" spans="1:7" hidden="1" x14ac:dyDescent="0.4">
      <c r="A552" s="3" t="str">
        <f t="shared" si="34"/>
        <v>心理系</v>
      </c>
      <c r="B552" s="3" t="str">
        <f>"蔡介立"</f>
        <v>蔡介立</v>
      </c>
      <c r="C552" s="3">
        <v>1</v>
      </c>
      <c r="D552" s="3"/>
      <c r="E552" s="3"/>
      <c r="F552" s="3"/>
      <c r="G552" s="3"/>
    </row>
    <row r="553" spans="1:7" hidden="1" x14ac:dyDescent="0.4">
      <c r="A553" s="3" t="str">
        <f t="shared" si="34"/>
        <v>心理系</v>
      </c>
      <c r="B553" s="3" t="str">
        <f>"黃柏僩"</f>
        <v>黃柏僩</v>
      </c>
      <c r="C553" s="3">
        <v>1</v>
      </c>
      <c r="D553" s="3"/>
      <c r="E553" s="3"/>
      <c r="F553" s="3"/>
      <c r="G553" s="3"/>
    </row>
    <row r="554" spans="1:7" hidden="1" x14ac:dyDescent="0.4">
      <c r="A554" s="1" t="str">
        <f t="shared" si="34"/>
        <v>心理系</v>
      </c>
      <c r="B554" s="1" t="str">
        <f>"郭建志"</f>
        <v>郭建志</v>
      </c>
    </row>
    <row r="555" spans="1:7" hidden="1" x14ac:dyDescent="0.4">
      <c r="A555" s="3" t="str">
        <f t="shared" si="34"/>
        <v>心理系</v>
      </c>
      <c r="B555" s="3" t="str">
        <f>"黃淑麗"</f>
        <v>黃淑麗</v>
      </c>
      <c r="C555" s="3">
        <v>2</v>
      </c>
      <c r="D555" s="3" t="s">
        <v>151</v>
      </c>
      <c r="E555" s="3" t="s">
        <v>207</v>
      </c>
      <c r="F555" s="3" t="s">
        <v>208</v>
      </c>
      <c r="G555" s="3"/>
    </row>
    <row r="556" spans="1:7" hidden="1" x14ac:dyDescent="0.4">
      <c r="A556" s="3" t="str">
        <f t="shared" si="34"/>
        <v>心理系</v>
      </c>
      <c r="B556" s="3" t="str">
        <f>"游琇婷"</f>
        <v>游琇婷</v>
      </c>
      <c r="C556" s="3">
        <v>1</v>
      </c>
      <c r="D556" s="3"/>
      <c r="E556" s="3"/>
      <c r="F556" s="3"/>
      <c r="G556" s="3"/>
    </row>
    <row r="557" spans="1:7" hidden="1" x14ac:dyDescent="0.4">
      <c r="A557" s="1" t="str">
        <f t="shared" si="34"/>
        <v>心理系</v>
      </c>
      <c r="B557" s="1" t="str">
        <f>"孫蒨如"</f>
        <v>孫蒨如</v>
      </c>
    </row>
    <row r="558" spans="1:7" hidden="1" x14ac:dyDescent="0.4">
      <c r="A558" s="1" t="str">
        <f t="shared" ref="A558:A574" si="35">"資科系"</f>
        <v>資科系</v>
      </c>
      <c r="B558" s="1" t="str">
        <f>"劉吉軒"</f>
        <v>劉吉軒</v>
      </c>
    </row>
    <row r="559" spans="1:7" hidden="1" x14ac:dyDescent="0.4">
      <c r="A559" s="1" t="str">
        <f t="shared" si="35"/>
        <v>資科系</v>
      </c>
      <c r="B559" s="1" t="str">
        <f>"紀明德"</f>
        <v>紀明德</v>
      </c>
    </row>
    <row r="560" spans="1:7" hidden="1" x14ac:dyDescent="0.4">
      <c r="A560" s="1" t="str">
        <f t="shared" si="35"/>
        <v>資科系</v>
      </c>
      <c r="B560" s="1" t="str">
        <f>"劉昭麟"</f>
        <v>劉昭麟</v>
      </c>
    </row>
    <row r="561" spans="1:7" hidden="1" x14ac:dyDescent="0.4">
      <c r="A561" s="1" t="str">
        <f t="shared" si="35"/>
        <v>資科系</v>
      </c>
      <c r="B561" s="1" t="str">
        <f>"沈錳坤"</f>
        <v>沈錳坤</v>
      </c>
    </row>
    <row r="562" spans="1:7" hidden="1" x14ac:dyDescent="0.4">
      <c r="A562" s="1" t="str">
        <f t="shared" si="35"/>
        <v>資科系</v>
      </c>
      <c r="B562" s="1" t="str">
        <f>"蔡子傑"</f>
        <v>蔡子傑</v>
      </c>
    </row>
    <row r="563" spans="1:7" hidden="1" x14ac:dyDescent="0.4">
      <c r="A563" s="1" t="str">
        <f t="shared" si="35"/>
        <v>資科系</v>
      </c>
      <c r="B563" s="1" t="str">
        <f>"左瑞麟"</f>
        <v>左瑞麟</v>
      </c>
    </row>
    <row r="564" spans="1:7" hidden="1" x14ac:dyDescent="0.4">
      <c r="A564" s="1" t="str">
        <f t="shared" si="35"/>
        <v>資科系</v>
      </c>
      <c r="B564" s="1" t="str">
        <f>"張宏慶"</f>
        <v>張宏慶</v>
      </c>
    </row>
    <row r="565" spans="1:7" hidden="1" x14ac:dyDescent="0.4">
      <c r="A565" s="1" t="str">
        <f t="shared" si="35"/>
        <v>資科系</v>
      </c>
      <c r="B565" s="1" t="str">
        <f>"廖文宏"</f>
        <v>廖文宏</v>
      </c>
    </row>
    <row r="566" spans="1:7" hidden="1" x14ac:dyDescent="0.4">
      <c r="A566" s="1" t="str">
        <f t="shared" si="35"/>
        <v>資科系</v>
      </c>
      <c r="B566" s="1" t="str">
        <f>"謝佩璇"</f>
        <v>謝佩璇</v>
      </c>
    </row>
    <row r="567" spans="1:7" hidden="1" x14ac:dyDescent="0.4">
      <c r="A567" s="1" t="str">
        <f t="shared" si="35"/>
        <v>資科系</v>
      </c>
      <c r="B567" s="1" t="str">
        <f>"蔡銘峰"</f>
        <v>蔡銘峰</v>
      </c>
    </row>
    <row r="568" spans="1:7" hidden="1" x14ac:dyDescent="0.4">
      <c r="A568" s="1" t="str">
        <f t="shared" si="35"/>
        <v>資科系</v>
      </c>
      <c r="B568" s="1" t="str">
        <f>"廖峻鋒"</f>
        <v>廖峻鋒</v>
      </c>
    </row>
    <row r="569" spans="1:7" hidden="1" x14ac:dyDescent="0.4">
      <c r="A569" s="1" t="str">
        <f t="shared" si="35"/>
        <v>資科系</v>
      </c>
      <c r="B569" s="1" t="str">
        <f>"張家銘"</f>
        <v>張家銘</v>
      </c>
    </row>
    <row r="570" spans="1:7" hidden="1" x14ac:dyDescent="0.4">
      <c r="A570" s="1" t="str">
        <f t="shared" si="35"/>
        <v>資科系</v>
      </c>
      <c r="B570" s="1" t="str">
        <f>"郭桐惟"</f>
        <v>郭桐惟</v>
      </c>
    </row>
    <row r="571" spans="1:7" hidden="1" x14ac:dyDescent="0.4">
      <c r="A571" s="1" t="str">
        <f t="shared" si="35"/>
        <v>資科系</v>
      </c>
      <c r="B571" s="1" t="str">
        <f>"彭彥璁"</f>
        <v>彭彥璁</v>
      </c>
    </row>
    <row r="572" spans="1:7" hidden="1" x14ac:dyDescent="0.4">
      <c r="A572" s="1" t="str">
        <f t="shared" si="35"/>
        <v>資科系</v>
      </c>
      <c r="B572" s="1" t="str">
        <f>"蔡欣叡"</f>
        <v>蔡欣叡</v>
      </c>
    </row>
    <row r="573" spans="1:7" hidden="1" x14ac:dyDescent="0.4">
      <c r="A573" s="1" t="str">
        <f t="shared" si="35"/>
        <v>資科系</v>
      </c>
      <c r="B573" s="1" t="str">
        <f>"曾一凡"</f>
        <v>曾一凡</v>
      </c>
    </row>
    <row r="574" spans="1:7" hidden="1" x14ac:dyDescent="0.4">
      <c r="A574" s="1" t="str">
        <f t="shared" si="35"/>
        <v>資科系</v>
      </c>
      <c r="B574" s="1" t="str">
        <f>"李蔡彥"</f>
        <v>李蔡彥</v>
      </c>
    </row>
    <row r="575" spans="1:7" hidden="1" x14ac:dyDescent="0.4">
      <c r="A575" s="3" t="str">
        <f>"神科所"</f>
        <v>神科所</v>
      </c>
      <c r="B575" s="3" t="str">
        <f>"趙知章"</f>
        <v>趙知章</v>
      </c>
      <c r="C575" s="3">
        <v>1</v>
      </c>
      <c r="D575" s="3"/>
      <c r="E575" s="3"/>
      <c r="F575" s="3"/>
      <c r="G575" s="3"/>
    </row>
    <row r="576" spans="1:7" hidden="1" x14ac:dyDescent="0.4">
      <c r="A576" s="3" t="str">
        <f>"神科所"</f>
        <v>神科所</v>
      </c>
      <c r="B576" s="3" t="str">
        <f>"陳紹寬"</f>
        <v>陳紹寬</v>
      </c>
      <c r="C576" s="3">
        <v>1</v>
      </c>
      <c r="D576" s="3"/>
      <c r="E576" s="3"/>
      <c r="F576" s="3"/>
      <c r="G576" s="3"/>
    </row>
    <row r="577" spans="1:7" hidden="1" x14ac:dyDescent="0.4">
      <c r="A577" s="1" t="str">
        <f>"應物所"</f>
        <v>應物所</v>
      </c>
      <c r="B577" s="1" t="str">
        <f>"許琇娟"</f>
        <v>許琇娟</v>
      </c>
    </row>
    <row r="578" spans="1:7" hidden="1" x14ac:dyDescent="0.4">
      <c r="A578" s="1" t="str">
        <f>"應物所"</f>
        <v>應物所</v>
      </c>
      <c r="B578" s="1" t="str">
        <f>"蔡尚岳"</f>
        <v>蔡尚岳</v>
      </c>
    </row>
    <row r="579" spans="1:7" hidden="1" x14ac:dyDescent="0.4">
      <c r="A579" s="1" t="str">
        <f>"應物所"</f>
        <v>應物所</v>
      </c>
      <c r="B579" s="1" t="str">
        <f>"林瑜琤"</f>
        <v>林瑜琤</v>
      </c>
    </row>
    <row r="580" spans="1:7" hidden="1" x14ac:dyDescent="0.4">
      <c r="A580" s="1" t="str">
        <f t="shared" ref="A580:A585" si="36">"群智博"</f>
        <v>群智博</v>
      </c>
      <c r="B580" s="1" t="str">
        <f>"劉昭麟"</f>
        <v>劉昭麟</v>
      </c>
    </row>
    <row r="581" spans="1:7" hidden="1" x14ac:dyDescent="0.4">
      <c r="A581" s="1" t="str">
        <f t="shared" si="36"/>
        <v>群智博</v>
      </c>
      <c r="B581" s="1" t="str">
        <f>"蔡銘峰"</f>
        <v>蔡銘峰</v>
      </c>
    </row>
    <row r="582" spans="1:7" hidden="1" x14ac:dyDescent="0.4">
      <c r="A582" s="1" t="str">
        <f t="shared" si="36"/>
        <v>群智博</v>
      </c>
      <c r="B582" s="1" t="str">
        <f>"劉吉軒"</f>
        <v>劉吉軒</v>
      </c>
    </row>
    <row r="583" spans="1:7" hidden="1" x14ac:dyDescent="0.4">
      <c r="A583" s="1" t="str">
        <f t="shared" si="36"/>
        <v>群智博</v>
      </c>
      <c r="B583" s="1" t="str">
        <f>"廖文宏"</f>
        <v>廖文宏</v>
      </c>
    </row>
    <row r="584" spans="1:7" hidden="1" x14ac:dyDescent="0.4">
      <c r="A584" s="1" t="str">
        <f t="shared" si="36"/>
        <v>群智博</v>
      </c>
      <c r="B584" s="1" t="str">
        <f>"彭彥璁"</f>
        <v>彭彥璁</v>
      </c>
    </row>
    <row r="585" spans="1:7" hidden="1" x14ac:dyDescent="0.4">
      <c r="A585" s="1" t="str">
        <f t="shared" si="36"/>
        <v>群智博</v>
      </c>
      <c r="B585" s="1" t="str">
        <f>"紀明德"</f>
        <v>紀明德</v>
      </c>
    </row>
    <row r="586" spans="1:7" hidden="1" x14ac:dyDescent="0.4">
      <c r="A586" s="10" t="s">
        <v>223</v>
      </c>
      <c r="B586" s="3" t="s">
        <v>224</v>
      </c>
      <c r="C586" s="3">
        <v>1</v>
      </c>
      <c r="D586" s="3"/>
      <c r="E586" s="3"/>
      <c r="F586" s="3"/>
      <c r="G586" s="3"/>
    </row>
    <row r="587" spans="1:7" hidden="1" x14ac:dyDescent="0.4">
      <c r="A587" s="10" t="s">
        <v>223</v>
      </c>
      <c r="B587" s="3" t="s">
        <v>225</v>
      </c>
      <c r="C587" s="3">
        <v>1</v>
      </c>
      <c r="D587" s="3"/>
      <c r="E587" s="3"/>
      <c r="F587" s="3"/>
      <c r="G587" s="3"/>
    </row>
    <row r="588" spans="1:7" hidden="1" x14ac:dyDescent="0.4">
      <c r="A588" s="3" t="str">
        <f>"日本碩學程"</f>
        <v>日本碩學程</v>
      </c>
      <c r="B588" s="3" t="str">
        <f>"石原忠浩"</f>
        <v>石原忠浩</v>
      </c>
      <c r="C588" s="3">
        <v>1</v>
      </c>
      <c r="D588" s="3"/>
      <c r="E588" s="3"/>
      <c r="F588" s="3"/>
      <c r="G588" s="3"/>
    </row>
    <row r="589" spans="1:7" hidden="1" x14ac:dyDescent="0.4">
      <c r="A589" s="3" t="str">
        <f>"日本碩學程"</f>
        <v>日本碩學程</v>
      </c>
      <c r="B589" s="3" t="str">
        <f>"楊雯婷"</f>
        <v>楊雯婷</v>
      </c>
      <c r="C589" s="3">
        <v>2</v>
      </c>
      <c r="D589" s="3" t="s">
        <v>211</v>
      </c>
      <c r="E589" s="3" t="s">
        <v>200</v>
      </c>
      <c r="F589" s="3">
        <v>4</v>
      </c>
      <c r="G589" s="3" t="s">
        <v>127</v>
      </c>
    </row>
    <row r="590" spans="1:7" hidden="1" x14ac:dyDescent="0.4">
      <c r="A590" s="3" t="str">
        <f>"日本碩學程"</f>
        <v>日本碩學程</v>
      </c>
      <c r="B590" s="3" t="str">
        <f>"李世暉"</f>
        <v>李世暉</v>
      </c>
      <c r="C590" s="3">
        <v>3</v>
      </c>
      <c r="D590" s="3" t="s">
        <v>209</v>
      </c>
      <c r="E590" s="3" t="s">
        <v>210</v>
      </c>
      <c r="F590" s="3">
        <v>4</v>
      </c>
      <c r="G590" s="3"/>
    </row>
    <row r="591" spans="1:7" hidden="1" x14ac:dyDescent="0.4">
      <c r="A591" s="1" t="str">
        <f>"國研碩程"</f>
        <v>國研碩程</v>
      </c>
      <c r="B591" s="1" t="str">
        <f>"蘇卓馨"</f>
        <v>蘇卓馨</v>
      </c>
    </row>
    <row r="592" spans="1:7" hidden="1" x14ac:dyDescent="0.4">
      <c r="A592" s="1" t="str">
        <f>"國研碩程"</f>
        <v>國研碩程</v>
      </c>
      <c r="B592" s="1" t="str">
        <f>"李佳怡"</f>
        <v>李佳怡</v>
      </c>
    </row>
    <row r="593" spans="1:7" hidden="1" x14ac:dyDescent="0.4">
      <c r="A593" s="1" t="str">
        <f>"國研碩程"</f>
        <v>國研碩程</v>
      </c>
      <c r="B593" s="1" t="str">
        <f>"張文揚"</f>
        <v>張文揚</v>
      </c>
    </row>
    <row r="594" spans="1:7" hidden="1" x14ac:dyDescent="0.4">
      <c r="A594" s="1" t="str">
        <f>"國研碩程"</f>
        <v>國研碩程</v>
      </c>
      <c r="B594" s="1" t="str">
        <f>"馮慕文"</f>
        <v>馮慕文</v>
      </c>
    </row>
    <row r="595" spans="1:7" hidden="1" x14ac:dyDescent="0.4">
      <c r="A595" s="3" t="str">
        <f>"日本博學程"</f>
        <v>日本博學程</v>
      </c>
      <c r="B595" s="3" t="str">
        <f>"劉致賢"</f>
        <v>劉致賢</v>
      </c>
      <c r="C595" s="3">
        <v>2</v>
      </c>
      <c r="D595" s="3"/>
      <c r="E595" s="3"/>
      <c r="F595" s="3"/>
      <c r="G595" s="3" t="s">
        <v>127</v>
      </c>
    </row>
    <row r="596" spans="1:7" hidden="1" x14ac:dyDescent="0.4">
      <c r="A596" s="1" t="str">
        <f>"創國學院"</f>
        <v>創國學院</v>
      </c>
      <c r="B596" s="1" t="str">
        <f>"杜文苓"</f>
        <v>杜文苓</v>
      </c>
    </row>
    <row r="597" spans="1:7" hidden="1" x14ac:dyDescent="0.4">
      <c r="A597" s="1" t="str">
        <f>"資訊學院"</f>
        <v>資訊學院</v>
      </c>
      <c r="B597" s="1" t="str">
        <f>"劉吉軒"</f>
        <v>劉吉軒</v>
      </c>
    </row>
    <row r="598" spans="1:7" hidden="1" x14ac:dyDescent="0.4">
      <c r="A598" s="1" t="str">
        <f>"全創碩學程"</f>
        <v>全創碩學程</v>
      </c>
      <c r="B598" s="1" t="str">
        <f>"徐美苓"</f>
        <v>徐美苓</v>
      </c>
    </row>
    <row r="599" spans="1:7" hidden="1" x14ac:dyDescent="0.4">
      <c r="A599" s="1" t="str">
        <f t="shared" ref="A599:A604" si="37">"創國學士班"</f>
        <v>創國學士班</v>
      </c>
      <c r="B599" s="1" t="str">
        <f>"歐子綺"</f>
        <v>歐子綺</v>
      </c>
    </row>
    <row r="600" spans="1:7" hidden="1" x14ac:dyDescent="0.4">
      <c r="A600" s="1" t="str">
        <f t="shared" si="37"/>
        <v>創國學士班</v>
      </c>
      <c r="B600" s="1" t="str">
        <f>"陳柏良"</f>
        <v>陳柏良</v>
      </c>
    </row>
    <row r="601" spans="1:7" hidden="1" x14ac:dyDescent="0.4">
      <c r="A601" s="1" t="str">
        <f t="shared" si="37"/>
        <v>創國學士班</v>
      </c>
      <c r="B601" s="1" t="str">
        <f>"楊智元"</f>
        <v>楊智元</v>
      </c>
    </row>
    <row r="602" spans="1:7" hidden="1" x14ac:dyDescent="0.4">
      <c r="A602" s="1" t="str">
        <f t="shared" si="37"/>
        <v>創國學士班</v>
      </c>
      <c r="B602" s="1" t="str">
        <f>"卞中佩"</f>
        <v>卞中佩</v>
      </c>
    </row>
    <row r="603" spans="1:7" hidden="1" x14ac:dyDescent="0.4">
      <c r="A603" s="1" t="str">
        <f t="shared" si="37"/>
        <v>創國學士班</v>
      </c>
      <c r="B603" s="1" t="str">
        <f>"陳虹穎"</f>
        <v>陳虹穎</v>
      </c>
    </row>
    <row r="604" spans="1:7" hidden="1" x14ac:dyDescent="0.4">
      <c r="A604" s="1" t="str">
        <f t="shared" si="37"/>
        <v>創國學士班</v>
      </c>
      <c r="B604" s="1" t="str">
        <f>"呂欣澤"</f>
        <v>呂欣澤</v>
      </c>
    </row>
    <row r="606" spans="1:7" ht="19.5" x14ac:dyDescent="0.4">
      <c r="A606" s="2" t="s">
        <v>236</v>
      </c>
      <c r="E606" s="2" t="s">
        <v>237</v>
      </c>
    </row>
  </sheetData>
  <autoFilter ref="A2:G604">
    <filterColumn colId="0">
      <filters>
        <filter val="中文系"/>
      </filters>
    </filterColumn>
  </autoFilter>
  <phoneticPr fontId="18" type="noConversion"/>
  <pageMargins left="0.51181102362204722" right="0.5118110236220472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111-2導師Office Hours調查表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2023-03-20T05:51:22Z</cp:lastPrinted>
  <dcterms:created xsi:type="dcterms:W3CDTF">2022-10-20T09:23:27Z</dcterms:created>
  <dcterms:modified xsi:type="dcterms:W3CDTF">2023-03-20T06:57:38Z</dcterms:modified>
</cp:coreProperties>
</file>